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79"/>
  </bookViews>
  <sheets>
    <sheet name="总表" sheetId="8" r:id="rId1"/>
    <sheet name="上机测算" sheetId="3" state="hidden" r:id="rId2"/>
    <sheet name="智慧水务清单" sheetId="30" state="hidden" r:id="rId3"/>
    <sheet name="Sheet1" sheetId="9" state="hidden" r:id="rId4"/>
    <sheet name="总表 (2)" sheetId="10" state="hidden" r:id="rId5"/>
    <sheet name="利息" sheetId="11" state="hidden" r:id="rId6"/>
    <sheet name="药剂" sheetId="12" state="hidden" r:id="rId7"/>
    <sheet name="成本" sheetId="14" state="hidden" r:id="rId8"/>
    <sheet name="流动资金" sheetId="13" state="hidden" r:id="rId9"/>
    <sheet name="年成本分析" sheetId="15" state="hidden" r:id="rId10"/>
    <sheet name="现金流量" sheetId="16" state="hidden" r:id="rId11"/>
    <sheet name="资本金现金流量" sheetId="17" state="hidden" r:id="rId12"/>
    <sheet name="税金计算表" sheetId="18" state="hidden" r:id="rId13"/>
    <sheet name="固定资产" sheetId="19" state="hidden" r:id="rId14"/>
    <sheet name="其他资产" sheetId="20" state="hidden" r:id="rId15"/>
    <sheet name="损益表" sheetId="21" state="hidden" r:id="rId16"/>
    <sheet name="财务计划" sheetId="22" state="hidden" r:id="rId17"/>
    <sheet name="资产负债" sheetId="23" state="hidden" r:id="rId18"/>
    <sheet name="借款偿还" sheetId="24" state="hidden" r:id="rId19"/>
    <sheet name="财务收支状况" sheetId="25" state="hidden" r:id="rId20"/>
    <sheet name="财务指标" sheetId="26" state="hidden" r:id="rId21"/>
    <sheet name="敏感分析" sheetId="27" state="hidden" r:id="rId22"/>
    <sheet name="分年度投资用款计划" sheetId="28" state="hidden" r:id="rId23"/>
    <sheet name="资金来源运用" sheetId="29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xlnm.Print_Area" localSheetId="16">财务计划!$B$1:$AN$41</definedName>
    <definedName name="_xlnm.Print_Area" localSheetId="19">财务收支状况!$C$2:$F$38</definedName>
    <definedName name="_xlnm.Print_Area" localSheetId="20">财务指标!$M$2:$P$38</definedName>
    <definedName name="_xlnm.Print_Area" localSheetId="7">成本!$A$1:$D$64</definedName>
    <definedName name="_xlnm.Print_Area" localSheetId="13">固定资产!$B$1:$AH$18</definedName>
    <definedName name="_xlnm.Print_Area" localSheetId="18">借款偿还!$B$1:$AO$37</definedName>
    <definedName name="_xlnm.Print_Area" localSheetId="8">流动资金!$B$1:$AH$18</definedName>
    <definedName name="_xlnm.Print_Area" localSheetId="21">敏感分析!$C$2:$I$35</definedName>
    <definedName name="_xlnm.Print_Area" localSheetId="9">年成本分析!$B$1:$AH$26</definedName>
    <definedName name="_xlnm.Print_Area" localSheetId="14">其他资产!$B$1:$AH$18</definedName>
    <definedName name="_xlnm.Print_Area" localSheetId="12">税金计算表!$B$2:$AH$19</definedName>
    <definedName name="_xlnm.Print_Area" localSheetId="15">损益表!$B$1:$AH$19</definedName>
    <definedName name="_xlnm.Print_Area" localSheetId="10">现金流量!$B$1:$AN$31</definedName>
    <definedName name="_xlnm.Print_Area" localSheetId="11">资本金现金流量!$B$1:$AN$34</definedName>
    <definedName name="_xlnm.Print_Area" localSheetId="17">资产负债!$B$1:$AH$28</definedName>
    <definedName name="_xlnm.Print_Area" localSheetId="23">资金来源运用!$B$1:$AN$30</definedName>
    <definedName name="_xlnm.Print_Area" localSheetId="0">总表!$A$1:$J$235</definedName>
    <definedName name="_xlnm.Print_Area" localSheetId="4">'总表 (2)'!$B$2:$N$55</definedName>
    <definedName name="_xlnm.Print_Titles" localSheetId="16">财务计划!$B:$C,财务计划!$2:$6</definedName>
    <definedName name="_xlnm.Print_Titles" localSheetId="13">固定资产!$B:$C,固定资产!$3:$4</definedName>
    <definedName name="_xlnm.Print_Titles" localSheetId="18">借款偿还!$B:$C,借款偿还!$3:$4</definedName>
    <definedName name="_xlnm.Print_Titles" localSheetId="8">流动资金!$B:$C,流动资金!$2:$5</definedName>
    <definedName name="_xlnm.Print_Titles" localSheetId="9">年成本分析!$B:$C</definedName>
    <definedName name="_xlnm.Print_Titles" localSheetId="14">其他资产!$B:$C,其他资产!$3:$4</definedName>
    <definedName name="_xlnm.Print_Titles" localSheetId="12">税金计算表!$B:$C,税金计算表!$3:$4</definedName>
    <definedName name="_xlnm.Print_Titles" localSheetId="15">损益表!$B:$C,损益表!$3:$4</definedName>
    <definedName name="_xlnm.Print_Titles" localSheetId="10">现金流量!$B:$C,现金流量!$2:$6</definedName>
    <definedName name="_xlnm.Print_Titles" localSheetId="17">资产负债!$B:$C,资产负债!$2:$5</definedName>
    <definedName name="_xlnm.Print_Titles" localSheetId="23">资金来源运用!$B:$C,资金来源运用!$1:$5</definedName>
    <definedName name="_xlnm.Print_Titles" localSheetId="0">总表!$1:$4</definedName>
    <definedName name="_xlnm.Print_Titles" localSheetId="4">'总表 (2)'!$3:$6</definedName>
    <definedName name="Recorder" hidden="1">[1]sis.xlm!$E$15:$E$16384</definedName>
    <definedName name="wrn.gyy1." hidden="1">{#N/A,#N/A,FALSE,"流动资金估算表";#N/A,#N/A,FALSE,"投资筹措表";#N/A,#N/A,FALSE,"总成本估算表";#N/A,#N/A,FALSE,"折旧摊销表";#N/A,#N/A,FALSE,"贷款还本付息表";#N/A,#N/A,FALSE,"损益表";#N/A,#N/A,FALSE,"全部投资现金表";#N/A,#N/A,FALSE,"自有资金现金表";#N/A,#N/A,FALSE,"资金来源运用表";#N/A,#N/A,FALSE,"资产负债表";#N/A,#N/A,FALSE,"投资调整表";#N/A,#N/A,FALSE,"成本调整表";#N/A,#N/A,FALSE,"国评流量表1";#N/A,#N/A,FALSE,"国评流量表2";#N/A,#N/A,FALSE,"不确定分析图"}</definedName>
    <definedName name="XLRPARAMS_GCMC" hidden="1">[2]XLR_NoRangeSheet!$B$6</definedName>
    <definedName name="XLRPARAMS_ZYMC" hidden="1">[2]XLR_NoRangeSheet!$C$6</definedName>
    <definedName name="yje">成本!$B$21</definedName>
    <definedName name="yjs">成本!$B$12</definedName>
    <definedName name="zq" comment="项目周期">'总表 (2)'!$D$44</definedName>
  </definedNames>
  <calcPr calcId="144525" iterate="true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K146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上阶段批复</t>
        </r>
      </text>
    </comment>
    <comment ref="K2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上阶段批复</t>
        </r>
      </text>
    </comment>
    <comment ref="G30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园林绿化</t>
        </r>
      </text>
    </comment>
    <comment ref="I30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其他水利</t>
        </r>
      </text>
    </comment>
    <comment ref="J30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水运、地铁</t>
        </r>
      </text>
    </comment>
    <comment ref="G30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一般道路、较高道路、高标准道路</t>
        </r>
      </text>
    </comment>
    <comment ref="H30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建筑，但人防为1.1</t>
        </r>
      </text>
    </comment>
    <comment ref="J30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疏浚、吹填为I级，其余按文件</t>
        </r>
      </text>
    </comment>
    <comment ref="B30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改建系数为1.1～1.4
如有其他，将各系数相加后减去附加系数个数，然后加1，作为附加调整系数</t>
        </r>
      </text>
    </comment>
    <comment ref="G3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园林绿化为II类</t>
        </r>
      </text>
    </comment>
  </commentList>
</comments>
</file>

<file path=xl/sharedStrings.xml><?xml version="1.0" encoding="utf-8"?>
<sst xmlns="http://schemas.openxmlformats.org/spreadsheetml/2006/main" count="1453" uniqueCount="866">
  <si>
    <t>概算审核对比表</t>
  </si>
  <si>
    <t>项目名称：儋州市西区供水及配水管道工程</t>
  </si>
  <si>
    <t>序号</t>
  </si>
  <si>
    <t>工程或费用名称</t>
  </si>
  <si>
    <t>送审造价</t>
  </si>
  <si>
    <t>审核造价</t>
  </si>
  <si>
    <t>核减增</t>
  </si>
  <si>
    <t>核减增率%</t>
  </si>
  <si>
    <t>技术经济指标</t>
  </si>
  <si>
    <t>备注</t>
  </si>
  <si>
    <t>红线宽度</t>
  </si>
  <si>
    <t>面积</t>
  </si>
  <si>
    <t>指标1</t>
  </si>
  <si>
    <t>面积相加</t>
  </si>
  <si>
    <t>指标2</t>
  </si>
  <si>
    <t>公里</t>
  </si>
  <si>
    <t>指标3</t>
  </si>
  <si>
    <t>单位</t>
  </si>
  <si>
    <t>数量</t>
  </si>
  <si>
    <t>单位价值(元)</t>
  </si>
  <si>
    <t>第一部分工程费用</t>
  </si>
  <si>
    <t>详见概算书</t>
  </si>
  <si>
    <t>D~G列不要有汇总，H5汇总，若有颜色说明汇总不对</t>
  </si>
  <si>
    <t>一</t>
  </si>
  <si>
    <t>西区给水管</t>
  </si>
  <si>
    <t>m</t>
  </si>
  <si>
    <t>铸铁DN800~500</t>
  </si>
  <si>
    <t>钢管DN800</t>
  </si>
  <si>
    <t>PE管DN800~500</t>
  </si>
  <si>
    <t>座</t>
  </si>
  <si>
    <t>个</t>
  </si>
  <si>
    <t>m3</t>
  </si>
  <si>
    <t>m2</t>
  </si>
  <si>
    <t>15CM级配碎石</t>
  </si>
  <si>
    <t>二</t>
  </si>
  <si>
    <t>进村次干管及支管</t>
  </si>
  <si>
    <t>三</t>
  </si>
  <si>
    <t>配水管</t>
  </si>
  <si>
    <t>智能水表、闸阀、铜制球阀、伸缩接头</t>
  </si>
  <si>
    <t>四</t>
  </si>
  <si>
    <t>水厂改造</t>
  </si>
  <si>
    <t>大成水厂</t>
  </si>
  <si>
    <t>m3/d</t>
  </si>
  <si>
    <t>雅星水厂</t>
  </si>
  <si>
    <t>大雅水厂</t>
  </si>
  <si>
    <t>0.00</t>
  </si>
  <si>
    <t>五</t>
  </si>
  <si>
    <t>泵站工程</t>
  </si>
  <si>
    <t>1#清水池泵站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</si>
  <si>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</si>
  <si>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</si>
  <si>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</si>
  <si>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</si>
  <si>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</si>
  <si>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</si>
  <si>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</si>
  <si>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</si>
  <si>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</si>
  <si>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</si>
  <si>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</si>
  <si>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2#一体化泵站</t>
  </si>
  <si>
    <t>2.1</t>
  </si>
  <si>
    <t>2.2</t>
  </si>
  <si>
    <t>2.3</t>
  </si>
  <si>
    <t>2.4</t>
  </si>
  <si>
    <t>2.5</t>
  </si>
  <si>
    <t>3#泵站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</si>
  <si>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</si>
  <si>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</si>
  <si>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</si>
  <si>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</si>
  <si>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</si>
  <si>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</si>
  <si>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</si>
  <si>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</si>
  <si>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</si>
  <si>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4#清水池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</si>
  <si>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</si>
  <si>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</si>
  <si>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</si>
  <si>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</si>
  <si>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</si>
  <si>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</si>
  <si>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</si>
  <si>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</si>
  <si>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</si>
  <si>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</si>
  <si>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5#一体化泵站</t>
  </si>
  <si>
    <t>六</t>
  </si>
  <si>
    <t>一体化净水设施</t>
  </si>
  <si>
    <t>1</t>
  </si>
  <si>
    <t>七</t>
  </si>
  <si>
    <t>智慧水务</t>
  </si>
  <si>
    <t>项</t>
  </si>
  <si>
    <t>建安费均在此行之上插入，该行及下行不得修改、删除</t>
  </si>
  <si>
    <t>第一部分费用合计</t>
  </si>
  <si>
    <t>其中厂站：</t>
  </si>
  <si>
    <t>第二部分工程建设其他费用</t>
  </si>
  <si>
    <t>征地及人员等</t>
  </si>
  <si>
    <t>建设单位管理费</t>
  </si>
  <si>
    <t>财建[2016]504号</t>
  </si>
  <si>
    <t>建设用地费</t>
  </si>
  <si>
    <t>0.00%</t>
  </si>
  <si>
    <t>琼府（2014）36号附件</t>
  </si>
  <si>
    <t>征地拆迁</t>
  </si>
  <si>
    <t>工作经费</t>
  </si>
  <si>
    <t>参考市场价</t>
  </si>
  <si>
    <t>过高速费</t>
  </si>
  <si>
    <t>耕地占用税</t>
  </si>
  <si>
    <t>涉铁路费用</t>
  </si>
  <si>
    <t>地下管线迁移及保护费</t>
  </si>
  <si>
    <t>长期占用公路路产补偿费</t>
  </si>
  <si>
    <t>城市道路挖掘占用</t>
  </si>
  <si>
    <t>青苗补偿</t>
  </si>
  <si>
    <t>亩</t>
  </si>
  <si>
    <t>林地征占补平衡方案编制费</t>
  </si>
  <si>
    <t>场地准备及临时设施费</t>
  </si>
  <si>
    <t>建安费*0.5%</t>
  </si>
  <si>
    <t>招标代理服务费</t>
  </si>
  <si>
    <t>勘察招标代理</t>
  </si>
  <si>
    <t>琼价费管[2011]225号</t>
  </si>
  <si>
    <t>设计招标代理</t>
  </si>
  <si>
    <t>施工监理招标代理</t>
  </si>
  <si>
    <t>施工招标代理</t>
  </si>
  <si>
    <t>设备招标代理</t>
  </si>
  <si>
    <t>测量招标代理</t>
  </si>
  <si>
    <t>预算编制费招标代理</t>
  </si>
  <si>
    <t>不计取</t>
  </si>
  <si>
    <t>施工图审查费招标代理</t>
  </si>
  <si>
    <t>工程造价咨询费招标代理</t>
  </si>
  <si>
    <t>供电外线施工招标代理</t>
  </si>
  <si>
    <t>质量检测费招标代理</t>
  </si>
  <si>
    <t>物探招标代理</t>
  </si>
  <si>
    <t>水土保持方案编制招标代理</t>
  </si>
  <si>
    <t>水土保持监测招标代理</t>
  </si>
  <si>
    <t>水土保持设施竣工验收技术评估报告编制招标代理</t>
  </si>
  <si>
    <t>设计监理招标代理</t>
  </si>
  <si>
    <t>工程保险费</t>
  </si>
  <si>
    <t>工程费*0.3%</t>
  </si>
  <si>
    <t>0.3%~0.6%</t>
  </si>
  <si>
    <t>工程监理费</t>
  </si>
  <si>
    <t>发改价格[2007]670号</t>
  </si>
  <si>
    <t>建设项目前期工作咨询费</t>
  </si>
  <si>
    <t>编制项目建议书</t>
  </si>
  <si>
    <t>按合同计</t>
  </si>
  <si>
    <t>编制可行性研究报告</t>
  </si>
  <si>
    <t>建设项目环境影响咨询费</t>
  </si>
  <si>
    <t>计价格[2002]125号</t>
  </si>
  <si>
    <t>勘察测量费</t>
  </si>
  <si>
    <t>计价格[2002]10号</t>
  </si>
  <si>
    <t>0.8%~1.1%,水利、建筑、景观按其他方法</t>
  </si>
  <si>
    <t>勘察费</t>
  </si>
  <si>
    <t>按建安费*1.1%</t>
  </si>
  <si>
    <t>测量费</t>
  </si>
  <si>
    <t>公顷</t>
  </si>
  <si>
    <t>设计费</t>
  </si>
  <si>
    <t>施工图预算编制费</t>
  </si>
  <si>
    <t>施工图审查费</t>
  </si>
  <si>
    <t>琼价费管[2011]224号</t>
  </si>
  <si>
    <t>水土保持费</t>
  </si>
  <si>
    <t>水土保持方案编制费</t>
  </si>
  <si>
    <t>保监[2005]22号</t>
  </si>
  <si>
    <t>水土保持监测费</t>
  </si>
  <si>
    <t>水土保持设施竣工验收技术评估报告编制费</t>
  </si>
  <si>
    <t>水土保持技术文件技术咨询服务费</t>
  </si>
  <si>
    <t>水土保持补偿费</t>
  </si>
  <si>
    <t>琼发改收费〔2021〕716号</t>
  </si>
  <si>
    <t>工程造价咨询费</t>
  </si>
  <si>
    <t>工程量清单编制</t>
  </si>
  <si>
    <t>琼价协[2020]01号</t>
  </si>
  <si>
    <t>施工阶段全过程造价控制</t>
  </si>
  <si>
    <t>结算审核</t>
  </si>
  <si>
    <t>生产职工培训费</t>
  </si>
  <si>
    <t>办公和生活家具购置费</t>
  </si>
  <si>
    <t>3套</t>
  </si>
  <si>
    <t xml:space="preserve">联合试运转费  </t>
  </si>
  <si>
    <t>设备费*0.1%</t>
  </si>
  <si>
    <t>供电外线费用（YJV-10  3x70）</t>
  </si>
  <si>
    <t>KM</t>
  </si>
  <si>
    <t>第三方质量检测费</t>
  </si>
  <si>
    <t>琼水建管〔2021〕398号</t>
  </si>
  <si>
    <t>物探费</t>
  </si>
  <si>
    <t>需物探管线总长70700米，宽度40m</t>
  </si>
  <si>
    <t>社会稳定风险评估报告</t>
  </si>
  <si>
    <t>琼风评研中心函[2019]1号</t>
  </si>
  <si>
    <t>规划放线费</t>
  </si>
  <si>
    <t>地质灾害危险性评估报告</t>
  </si>
  <si>
    <t>发改办价格[2006]745号</t>
  </si>
  <si>
    <t>节地评价费</t>
  </si>
  <si>
    <t>海规协[20236]025号</t>
  </si>
  <si>
    <t>环境保护设施竣工验收费</t>
  </si>
  <si>
    <t>行业评审费</t>
  </si>
  <si>
    <t>设计监理费</t>
  </si>
  <si>
    <t>水资源论证</t>
  </si>
  <si>
    <t>建设项目水资源论证报告书编制费用核算方法</t>
  </si>
  <si>
    <t>防洪评价</t>
  </si>
  <si>
    <t>参考《湖南防洪影响咨询服务费计列指导意见》</t>
  </si>
  <si>
    <t>水质检测费</t>
  </si>
  <si>
    <t>网络二级等保体系</t>
  </si>
  <si>
    <t>控制性详细规划编制费</t>
  </si>
  <si>
    <t>海南省规划设计计费指导意见</t>
  </si>
  <si>
    <t>林地可行性报告编制费</t>
  </si>
  <si>
    <t>建设项目压覆矿产资源评估报告编制费</t>
  </si>
  <si>
    <t>自然资办函（2020）710号</t>
  </si>
  <si>
    <t>CCTV检测费</t>
  </si>
  <si>
    <t>交通疏导费</t>
  </si>
  <si>
    <t>第二部分费用合计</t>
  </si>
  <si>
    <t>第一、二部分费用合计</t>
  </si>
  <si>
    <t>第三部分预备费用</t>
  </si>
  <si>
    <t>按5%计取</t>
  </si>
  <si>
    <t>需要修改</t>
  </si>
  <si>
    <t>第一、二、三部分费用合计</t>
  </si>
  <si>
    <t>若以下内容无，可以删除数据后隐藏该行及以下行，仅保留总投资</t>
  </si>
  <si>
    <t>建设期贷款利息</t>
  </si>
  <si>
    <t>铺底流动资金</t>
  </si>
  <si>
    <t>工程总投资</t>
  </si>
  <si>
    <t>第一年</t>
  </si>
  <si>
    <t>第二年</t>
  </si>
  <si>
    <t>第三年</t>
  </si>
  <si>
    <t>道路安全评价费</t>
  </si>
  <si>
    <t>周边建筑物监测费</t>
  </si>
  <si>
    <t>林地作业设计调查编制服务费</t>
  </si>
  <si>
    <t>取费项目</t>
  </si>
  <si>
    <t>费率</t>
  </si>
  <si>
    <t>一、建设单位管理费（总投资基数）</t>
  </si>
  <si>
    <t>文号</t>
  </si>
  <si>
    <t xml:space="preserve">    建设单位管理费（总投资基数）</t>
  </si>
  <si>
    <t>财建[2002]394号</t>
  </si>
  <si>
    <t>费用名称</t>
  </si>
  <si>
    <t>投资（万元）</t>
  </si>
  <si>
    <t xml:space="preserve">    建设单位管理费（建安费基数）</t>
  </si>
  <si>
    <t>财建［2016］504号</t>
  </si>
  <si>
    <t>三府[2014]70号</t>
  </si>
  <si>
    <t>送审总投资与评审调整后总投资对比表</t>
  </si>
  <si>
    <t>二、建设项目前期工作咨询费（总投资基数）</t>
  </si>
  <si>
    <t>海府办[2011]150号</t>
  </si>
  <si>
    <t>类别</t>
  </si>
  <si>
    <t>送审</t>
  </si>
  <si>
    <t>审定     （万元）</t>
  </si>
  <si>
    <t>核增/减金额（万元）</t>
  </si>
  <si>
    <t>核增（减）比例</t>
  </si>
  <si>
    <t>1、编制项目建议书</t>
  </si>
  <si>
    <t>（万元）</t>
  </si>
  <si>
    <t>2、编制可行性研究报告</t>
  </si>
  <si>
    <t>建安工程费</t>
  </si>
  <si>
    <t>3、评估项目建议书</t>
  </si>
  <si>
    <t>工程建设其它费</t>
  </si>
  <si>
    <t>4、评估可行性研究报告</t>
  </si>
  <si>
    <t>预备费</t>
  </si>
  <si>
    <t>5、其他</t>
  </si>
  <si>
    <t>建设总投资</t>
  </si>
  <si>
    <t>三、环境影响评价费（总投资基数）</t>
  </si>
  <si>
    <t>1、编制环境影响报告书（含大纲）</t>
  </si>
  <si>
    <r>
      <rPr>
        <b/>
        <sz val="14"/>
        <color theme="1"/>
        <rFont val="宋体"/>
        <charset val="134"/>
      </rPr>
      <t>修编后总投资与评审调整后总投资对比表</t>
    </r>
    <r>
      <rPr>
        <sz val="12"/>
        <color rgb="FF0000FF"/>
        <rFont val="Times New Roman"/>
        <charset val="134"/>
      </rPr>
      <t xml:space="preserve"> </t>
    </r>
  </si>
  <si>
    <t>2、编制环境影响报告表</t>
  </si>
  <si>
    <t>修编</t>
  </si>
  <si>
    <t>3、评估环境影响报告书（含大纲）</t>
  </si>
  <si>
    <t>4、评估环境影响报告表</t>
  </si>
  <si>
    <t>四、招标代理服务费</t>
  </si>
  <si>
    <t>1、勘察招标代理（总投资基数）</t>
  </si>
  <si>
    <t>琼价费管[2011]225号，在计价格[2002]125号基础上对5亿以上投资减少，增加了最高限价</t>
  </si>
  <si>
    <t>2、设计招标代理（总投资基数）</t>
  </si>
  <si>
    <t>3、施工监理招标代理（建安费基数）</t>
  </si>
  <si>
    <t>4、施工招标代理（建安费基数）</t>
  </si>
  <si>
    <t>四、招投标交易服务费</t>
  </si>
  <si>
    <t>1、勘察招标代理</t>
  </si>
  <si>
    <t>琼发改收费[2005]1140号</t>
  </si>
  <si>
    <t>2、设计招标代理</t>
  </si>
  <si>
    <t>3、施工监理招标代理</t>
  </si>
  <si>
    <t>4、施工招标代理</t>
  </si>
  <si>
    <t>五、施工图审查费</t>
  </si>
  <si>
    <t>1、勘察审查</t>
  </si>
  <si>
    <r>
      <rPr>
        <sz val="10"/>
        <rFont val="宋体"/>
        <charset val="134"/>
      </rPr>
      <t>琼价费管</t>
    </r>
    <r>
      <rPr>
        <sz val="10"/>
        <color indexed="63"/>
        <rFont val="Arial"/>
        <charset val="134"/>
      </rPr>
      <t>[2011]224</t>
    </r>
    <r>
      <rPr>
        <sz val="10"/>
        <color indexed="63"/>
        <rFont val="宋体"/>
        <charset val="134"/>
      </rPr>
      <t>号</t>
    </r>
  </si>
  <si>
    <t>2、施工图审查</t>
  </si>
  <si>
    <t>3、其他</t>
  </si>
  <si>
    <t>六、工程造价咨询费</t>
  </si>
  <si>
    <t>1、概算审核</t>
  </si>
  <si>
    <t>琼发改收费[2007]170号</t>
  </si>
  <si>
    <t>2、工程量清单</t>
  </si>
  <si>
    <t>3、预算或结算审核</t>
  </si>
  <si>
    <t>4、施工阶段全过程造价控制费</t>
  </si>
  <si>
    <t>七、水土保持费</t>
  </si>
  <si>
    <t>1、水土保持方案编制费</t>
  </si>
  <si>
    <t>2、水土保持监测费</t>
  </si>
  <si>
    <t>3、水土保持设施竣工验收技术评估报告编制费</t>
  </si>
  <si>
    <t>4、水土保持技术文件技术咨询服务费</t>
  </si>
  <si>
    <t>八、PPP咨询服务费</t>
  </si>
  <si>
    <t>行业系数</t>
  </si>
  <si>
    <t>折扣</t>
  </si>
  <si>
    <t>1、初步实施方案</t>
  </si>
  <si>
    <t>复杂系数</t>
  </si>
  <si>
    <t>2、《财政承受能力论证报告》</t>
  </si>
  <si>
    <t>3、《物有所值评价报告》</t>
  </si>
  <si>
    <t>4、实施方案</t>
  </si>
  <si>
    <t>5、PPP项目合同咨询</t>
  </si>
  <si>
    <t>6、项目期中及后评价报告</t>
  </si>
  <si>
    <t>名称</t>
  </si>
  <si>
    <t>景观工程</t>
  </si>
  <si>
    <t>建筑工程</t>
  </si>
  <si>
    <t>水运工程</t>
  </si>
  <si>
    <t>投资</t>
  </si>
  <si>
    <t>设计费费率</t>
  </si>
  <si>
    <t>基准设计费</t>
  </si>
  <si>
    <t>专业系数</t>
  </si>
  <si>
    <t>附加调整系数</t>
  </si>
  <si>
    <t>合计</t>
  </si>
  <si>
    <t>监理费费率</t>
  </si>
  <si>
    <t>基准监理费</t>
  </si>
  <si>
    <t>监理费</t>
  </si>
  <si>
    <t>区域</t>
  </si>
  <si>
    <t>镇名</t>
  </si>
  <si>
    <t>（亩）</t>
  </si>
  <si>
    <t>秀英区</t>
  </si>
  <si>
    <t>东山镇</t>
  </si>
  <si>
    <t>石山镇</t>
  </si>
  <si>
    <t>永兴镇</t>
  </si>
  <si>
    <t>规格</t>
  </si>
  <si>
    <t>测算单价</t>
  </si>
  <si>
    <t>采用价格</t>
  </si>
  <si>
    <t>PE管 DN160</t>
  </si>
  <si>
    <t>PE管 dn110</t>
  </si>
  <si>
    <t>PE管 dn75</t>
  </si>
  <si>
    <t>PE管 dn50</t>
  </si>
  <si>
    <t>金额</t>
  </si>
  <si>
    <t>PE管 dn32</t>
  </si>
  <si>
    <t>PE管 dn25</t>
  </si>
  <si>
    <t>智能水表 DN25</t>
  </si>
  <si>
    <t>给水主管-双管</t>
  </si>
  <si>
    <t>给水主管-单管</t>
  </si>
  <si>
    <t>破除及恢复路面 20cm厚C30面层
15cm厚级配碎石基层</t>
  </si>
  <si>
    <t>明敷</t>
  </si>
  <si>
    <t>拖拉管</t>
  </si>
  <si>
    <t>连通管</t>
  </si>
  <si>
    <t>顶管</t>
  </si>
  <si>
    <t>球墨铸铁管 DN800</t>
  </si>
  <si>
    <t>顶管井</t>
  </si>
  <si>
    <t>球墨铸铁管 DN600</t>
  </si>
  <si>
    <t>管配件</t>
  </si>
  <si>
    <t>球墨铸铁管 DN500</t>
  </si>
  <si>
    <t>设备</t>
  </si>
  <si>
    <t>球墨铸铁管 DN400</t>
  </si>
  <si>
    <t>阀门井</t>
  </si>
  <si>
    <t>路面破除及恢复</t>
  </si>
  <si>
    <t>管道支墩</t>
  </si>
  <si>
    <t>临时便道</t>
  </si>
  <si>
    <t>绿化破除与修复</t>
  </si>
  <si>
    <t>次干管及支管-大成镇</t>
  </si>
  <si>
    <t>拖拉管-大成镇</t>
  </si>
  <si>
    <t>架空管-大成镇</t>
  </si>
  <si>
    <t>阀门井-大成镇</t>
  </si>
  <si>
    <t>阀门管及配件-大成镇</t>
  </si>
  <si>
    <t>次干管及支管-雅星镇</t>
  </si>
  <si>
    <t>路面破除及恢复-大成镇</t>
  </si>
  <si>
    <t>次干管及支管-海头镇</t>
  </si>
  <si>
    <t>绿化破除与修复-大成</t>
  </si>
  <si>
    <t>管道支墩-大成镇</t>
  </si>
  <si>
    <t>架空管</t>
  </si>
  <si>
    <t>拖拉管-雅星镇</t>
  </si>
  <si>
    <t>架空管-雅星镇</t>
  </si>
  <si>
    <t>阀门管及配件</t>
  </si>
  <si>
    <t>阀门井-雅星镇</t>
  </si>
  <si>
    <t>阀门管及配件-雅星镇</t>
  </si>
  <si>
    <t>路面破除及恢复-雅星镇</t>
  </si>
  <si>
    <t>绿化破除与修复-雅星</t>
  </si>
  <si>
    <t>管道支墩-雅星镇</t>
  </si>
  <si>
    <t>大成镇村-配水管</t>
  </si>
  <si>
    <t>大成镇村-管配件</t>
  </si>
  <si>
    <t>架空管-海头镇</t>
  </si>
  <si>
    <t>大成镇村-路面破除及恢复</t>
  </si>
  <si>
    <t>阀门管及配件-海头镇</t>
  </si>
  <si>
    <t>雅兴镇村-配水管</t>
  </si>
  <si>
    <t>阀门井-海头镇</t>
  </si>
  <si>
    <t>雅兴镇村-管配件</t>
  </si>
  <si>
    <t>路面破除及恢复-海头镇</t>
  </si>
  <si>
    <t>雅兴镇村-路面破除及恢复</t>
  </si>
  <si>
    <t>绿化破除与修复-海头</t>
  </si>
  <si>
    <t>海头镇村-配水管</t>
  </si>
  <si>
    <t>管道支墩-大海头镇</t>
  </si>
  <si>
    <t>海头镇村-管配件</t>
  </si>
  <si>
    <t>海头镇村-路面破除及恢复</t>
  </si>
  <si>
    <t>那大大成漏缺村-配水管</t>
  </si>
  <si>
    <t>那大大成漏缺村-管配件</t>
  </si>
  <si>
    <t>那大大成漏缺村-路面破除及恢复</t>
  </si>
  <si>
    <t>雅星水厂-土建</t>
  </si>
  <si>
    <t>雅星水厂-设备</t>
  </si>
  <si>
    <t>大成水厂-土建</t>
  </si>
  <si>
    <t>大成水厂-设备</t>
  </si>
  <si>
    <t>大雅水厂-土建</t>
  </si>
  <si>
    <t>大雅水厂-设备</t>
  </si>
  <si>
    <t>新1#泵站</t>
  </si>
  <si>
    <t>新1#泵站(原2#)构筑物</t>
  </si>
  <si>
    <t>1#泵站建筑物</t>
  </si>
  <si>
    <t>大成水厂-清水池土建</t>
  </si>
  <si>
    <t>新1#泵站(原2#)厂平</t>
  </si>
  <si>
    <t>大成水厂-清水池管配件</t>
  </si>
  <si>
    <t>新1#泵站(原2#)设备</t>
  </si>
  <si>
    <t>大成水厂-砖砌溢流井</t>
  </si>
  <si>
    <t>新1#泵站(原2#)自控</t>
  </si>
  <si>
    <t>大成水厂-送水泵房管配件</t>
  </si>
  <si>
    <t>新1#泵站电气</t>
  </si>
  <si>
    <t>大成水厂-送水泵房设备</t>
  </si>
  <si>
    <t>新2#泵站</t>
  </si>
  <si>
    <t>大成水厂-场内管线</t>
  </si>
  <si>
    <t>新2#泵站（原7#）构筑物</t>
  </si>
  <si>
    <t>大成水厂-场内管线土方</t>
  </si>
  <si>
    <t>新2#泵站（原7#）厂平</t>
  </si>
  <si>
    <t>大成水厂-电气</t>
  </si>
  <si>
    <t>新2#泵站（原7#）设备</t>
  </si>
  <si>
    <t>大成水厂-自控</t>
  </si>
  <si>
    <t>新2#泵站电气</t>
  </si>
  <si>
    <t>雅星水厂-清水池土建</t>
  </si>
  <si>
    <t>新3#泵站</t>
  </si>
  <si>
    <t>雅星水厂-清水池管配件</t>
  </si>
  <si>
    <t>3#泵站构筑物</t>
  </si>
  <si>
    <t>雅星水厂-砖砌溢流井</t>
  </si>
  <si>
    <t>3#泵站建筑物</t>
  </si>
  <si>
    <t>雅星水厂-送水泵房管配件</t>
  </si>
  <si>
    <t>3#泵站厂平</t>
  </si>
  <si>
    <t>雅星水厂-送水泵房设备</t>
  </si>
  <si>
    <t>3#泵站设备</t>
  </si>
  <si>
    <t>雅星水厂-厂内管线</t>
  </si>
  <si>
    <t>3#泵站自控</t>
  </si>
  <si>
    <t>雅星水厂-场内管线土方</t>
  </si>
  <si>
    <t>3#泵站电气</t>
  </si>
  <si>
    <t>雅星水厂-电气</t>
  </si>
  <si>
    <t>雅星水厂-自控1</t>
  </si>
  <si>
    <t>新4#清水池</t>
  </si>
  <si>
    <t>大雅水厂-清水池土建</t>
  </si>
  <si>
    <t>4#泵站构筑物</t>
  </si>
  <si>
    <t>大雅水厂-清水池管配件</t>
  </si>
  <si>
    <t>4#泵站厂平</t>
  </si>
  <si>
    <t>大雅水厂-砖砌溢流井</t>
  </si>
  <si>
    <t>4#泵站泵站设备</t>
  </si>
  <si>
    <t>大雅水厂-送水泵房管配件</t>
  </si>
  <si>
    <t>4#泵站泵站自控</t>
  </si>
  <si>
    <t>大雅水厂-送水泵房设备</t>
  </si>
  <si>
    <t>4#泵站泵站电气</t>
  </si>
  <si>
    <t>大雅水厂-场内管线</t>
  </si>
  <si>
    <t>7#8#泵站</t>
  </si>
  <si>
    <t>大雅水厂-场内管线土方</t>
  </si>
  <si>
    <t>7#8#构筑物</t>
  </si>
  <si>
    <t>大雅水厂-电气</t>
  </si>
  <si>
    <t>7#8#厂平</t>
  </si>
  <si>
    <t>大雅水厂-自控</t>
  </si>
  <si>
    <t>7#8#设备</t>
  </si>
  <si>
    <t>7#8#电气</t>
  </si>
  <si>
    <t>新1#泵站(原2#)-清水池</t>
  </si>
  <si>
    <t>10#泵站（原9~12）</t>
  </si>
  <si>
    <t>新1#泵站(原2#)-增压泵房</t>
  </si>
  <si>
    <t>10#泵站构筑物</t>
  </si>
  <si>
    <t>新1#泵站(原2#)-加药间</t>
  </si>
  <si>
    <t>10#泵站厂平</t>
  </si>
  <si>
    <t>新1#泵站(原2#)-次氯酸钠储存池</t>
  </si>
  <si>
    <t>10#泵站设备</t>
  </si>
  <si>
    <t>10#泵站电气</t>
  </si>
  <si>
    <t>地基处理</t>
  </si>
  <si>
    <t>一体化净水设备</t>
  </si>
  <si>
    <t>基坑围护</t>
  </si>
  <si>
    <t>新1#泵站(原2#)厂平管配件</t>
  </si>
  <si>
    <t>新2#泵站（原7#）设备基础</t>
  </si>
  <si>
    <t>新2#泵站（原7#）厂平管配件</t>
  </si>
  <si>
    <t>3#泵站增压泵房</t>
  </si>
  <si>
    <t>3#泵站厂平管配件</t>
  </si>
  <si>
    <t>4#泵站-清水池</t>
  </si>
  <si>
    <t>4#泵站-加药间</t>
  </si>
  <si>
    <t>4#泵站-次氯酸钠储存池</t>
  </si>
  <si>
    <t>4#泵站厂平管配件</t>
  </si>
  <si>
    <t>5#泵站</t>
  </si>
  <si>
    <t>5#泵站设备基础</t>
  </si>
  <si>
    <t>5#泵站厂平</t>
  </si>
  <si>
    <t>5#泵站厂平管配件</t>
  </si>
  <si>
    <t>5#泵站设备</t>
  </si>
  <si>
    <t>5#泵站电气</t>
  </si>
  <si>
    <t>儋州市西区管网工程项目智慧水务部分清单</t>
  </si>
  <si>
    <r>
      <rPr>
        <b/>
        <sz val="11"/>
        <color theme="1"/>
        <rFont val="FangSong"/>
        <charset val="134"/>
      </rPr>
      <t>序号</t>
    </r>
  </si>
  <si>
    <t>项目名称</t>
  </si>
  <si>
    <t>预算（元）</t>
  </si>
  <si>
    <t>管网监测</t>
  </si>
  <si>
    <t>双管道接驳处加装流量、压力点</t>
  </si>
  <si>
    <t>次干管接入水厂加装流量、压力点</t>
  </si>
  <si>
    <t>管网区域加装压力点</t>
  </si>
  <si>
    <t>在通村入口处加装流量、压力点</t>
  </si>
  <si>
    <t>对建设范围内水质监测</t>
  </si>
  <si>
    <t>网络传输设备</t>
  </si>
  <si>
    <t>项目实施运行维护</t>
  </si>
  <si>
    <t>信息化平台</t>
  </si>
  <si>
    <t>数据中台</t>
  </si>
  <si>
    <t>综合远程操控平台</t>
  </si>
  <si>
    <t>综合视频管理平台</t>
  </si>
  <si>
    <t>智慧运营中心升级</t>
  </si>
  <si>
    <t>系统运行环境</t>
  </si>
  <si>
    <t>项目合计</t>
  </si>
  <si>
    <r>
      <rPr>
        <b/>
        <sz val="16"/>
        <rFont val="宋体"/>
        <charset val="134"/>
      </rPr>
      <t>综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 xml:space="preserve">合 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 xml:space="preserve">概 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算</t>
    </r>
    <r>
      <rPr>
        <b/>
        <sz val="16"/>
        <rFont val="Times New Roman"/>
        <charset val="134"/>
      </rPr>
      <t xml:space="preserve">   </t>
    </r>
    <r>
      <rPr>
        <b/>
        <sz val="16"/>
        <rFont val="宋体"/>
        <charset val="134"/>
      </rPr>
      <t>表</t>
    </r>
  </si>
  <si>
    <t>序</t>
  </si>
  <si>
    <t>概  算  金  额      (万元)</t>
  </si>
  <si>
    <t>技 术 经 济 指 标</t>
  </si>
  <si>
    <t>号</t>
  </si>
  <si>
    <t>安装工程</t>
  </si>
  <si>
    <t>设备购置</t>
  </si>
  <si>
    <t>工器具及生产用具购置费</t>
  </si>
  <si>
    <t>其他费用</t>
  </si>
  <si>
    <t>工程费用</t>
  </si>
  <si>
    <t>第一部分工程费用小计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</si>
  <si>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其他费用</t>
    </r>
  </si>
  <si>
    <t>其他</t>
  </si>
  <si>
    <t>第二部分费用小计</t>
  </si>
  <si>
    <t>第一、二部分费用小计</t>
  </si>
  <si>
    <t>不可预见费</t>
  </si>
  <si>
    <t>工程因素不可预见费</t>
  </si>
  <si>
    <t>第三部分费用小计</t>
  </si>
  <si>
    <t>第一、二、三部分费用小计</t>
  </si>
  <si>
    <t>建设项目总投资</t>
  </si>
  <si>
    <t>建设期</t>
  </si>
  <si>
    <t>年</t>
  </si>
  <si>
    <t>经营期</t>
  </si>
  <si>
    <t>基准收益率</t>
  </si>
  <si>
    <t>新建（非扩建）规模</t>
  </si>
  <si>
    <t>万吨/d</t>
  </si>
  <si>
    <t>提标改造规模</t>
  </si>
  <si>
    <t>扩建规模</t>
  </si>
  <si>
    <t>收费单价</t>
  </si>
  <si>
    <t>元</t>
  </si>
  <si>
    <t>销售税金及附加</t>
  </si>
  <si>
    <t>所得税税率</t>
  </si>
  <si>
    <t>盈亏平衡分析</t>
  </si>
  <si>
    <t>自有流动资金</t>
  </si>
  <si>
    <t>贷款</t>
  </si>
  <si>
    <t>流动资金贷款比例</t>
  </si>
  <si>
    <r>
      <rPr>
        <sz val="12"/>
        <rFont val="宋体"/>
        <charset val="134"/>
      </rPr>
      <t>利息计算表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单位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万元</t>
    </r>
  </si>
  <si>
    <t>估算投资</t>
  </si>
  <si>
    <t>总计</t>
  </si>
  <si>
    <r>
      <rPr>
        <sz val="12"/>
        <rFont val="宋体"/>
        <charset val="134"/>
      </rPr>
      <t>贷款占估算投资</t>
    </r>
    <r>
      <rPr>
        <sz val="12"/>
        <rFont val="Times New Roman"/>
        <charset val="134"/>
      </rPr>
      <t>%</t>
    </r>
  </si>
  <si>
    <r>
      <rPr>
        <sz val="12"/>
        <rFont val="宋体"/>
        <charset val="134"/>
      </rPr>
      <t>国内贷款</t>
    </r>
    <r>
      <rPr>
        <sz val="12"/>
        <rFont val="Times New Roman"/>
        <charset val="134"/>
      </rPr>
      <t>%</t>
    </r>
  </si>
  <si>
    <t>国内利率</t>
  </si>
  <si>
    <r>
      <rPr>
        <sz val="12"/>
        <rFont val="宋体"/>
        <charset val="134"/>
      </rPr>
      <t>国外贷款</t>
    </r>
    <r>
      <rPr>
        <sz val="12"/>
        <rFont val="Times New Roman"/>
        <charset val="134"/>
      </rPr>
      <t>%</t>
    </r>
  </si>
  <si>
    <t>国外利率</t>
  </si>
  <si>
    <t>贷款年份</t>
  </si>
  <si>
    <t>国内贷款比例</t>
  </si>
  <si>
    <t>国外贷款比例</t>
  </si>
  <si>
    <t>国内贷款利息</t>
  </si>
  <si>
    <t>国外贷款利息</t>
  </si>
  <si>
    <t>各年份国内借款额</t>
  </si>
  <si>
    <t>各年份国外借款额</t>
  </si>
  <si>
    <t>国内贷款</t>
  </si>
  <si>
    <t>国外贷款</t>
  </si>
  <si>
    <t>自筹资金</t>
  </si>
  <si>
    <t>总投资</t>
  </si>
  <si>
    <t>药剂名称</t>
  </si>
  <si>
    <t>投加天数</t>
  </si>
  <si>
    <t>单价</t>
  </si>
  <si>
    <t>PAC（干固体）(吨/日)</t>
  </si>
  <si>
    <t>PAC（干固体）投加量(t/d)</t>
  </si>
  <si>
    <t>PAM(kg/日)</t>
  </si>
  <si>
    <t>PAC（干固体）单价（元/t）</t>
  </si>
  <si>
    <t>次氯酸钠（10%浓度）(吨/年)</t>
  </si>
  <si>
    <t>PAM投加量(kg/d)</t>
  </si>
  <si>
    <t>柠檬酸(吨/年)</t>
  </si>
  <si>
    <t>PAM单价（元/t）</t>
  </si>
  <si>
    <t>乙酸钠(公斤/日)</t>
  </si>
  <si>
    <t>次氯酸钠（10%浓度）投加量(t/y)</t>
  </si>
  <si>
    <t>次氯酸钠（10%浓度）单价（元/t）</t>
  </si>
  <si>
    <t>柠檬酸投加量(t/y)</t>
  </si>
  <si>
    <t>柠檬酸单价（元/t）</t>
  </si>
  <si>
    <t>乙酸钠投加量(kg/d)</t>
  </si>
  <si>
    <t>乙酸钠单价（元/t）</t>
  </si>
  <si>
    <t>成本表</t>
  </si>
  <si>
    <t>基础数据</t>
  </si>
  <si>
    <t>平均日产水量(万吨/日)</t>
  </si>
  <si>
    <t xml:space="preserve">总变化系数 </t>
  </si>
  <si>
    <t>电耗(度/日)</t>
  </si>
  <si>
    <t>电费单价(元/度)</t>
  </si>
  <si>
    <t>变压器容量（KVA）</t>
  </si>
  <si>
    <t>基本电价（元/KVA/月）</t>
  </si>
  <si>
    <t>日用水量(立方米/日)</t>
  </si>
  <si>
    <t>水费单价(元/立方米)</t>
  </si>
  <si>
    <t>kg/d</t>
  </si>
  <si>
    <t>污泥外运处置量(m³/d)</t>
  </si>
  <si>
    <t>污泥外运处置单价(元/m³)</t>
  </si>
  <si>
    <t>职工定员(人)</t>
  </si>
  <si>
    <t>年人均工资</t>
  </si>
  <si>
    <t>建设项目总投资(万元)</t>
  </si>
  <si>
    <t>其中：固定资产</t>
  </si>
  <si>
    <t xml:space="preserve">           无形资产</t>
  </si>
  <si>
    <t xml:space="preserve">      其他资产</t>
  </si>
  <si>
    <r>
      <rPr>
        <sz val="10"/>
        <rFont val="宋体"/>
        <charset val="134"/>
      </rPr>
      <t xml:space="preserve">      建设期</t>
    </r>
    <r>
      <rPr>
        <sz val="10"/>
        <rFont val="宋体"/>
        <charset val="134"/>
      </rPr>
      <t>贷款利息</t>
    </r>
  </si>
  <si>
    <t xml:space="preserve">      铺底流动资金</t>
  </si>
  <si>
    <t>固定资产综合折旧率</t>
  </si>
  <si>
    <t>固定资产残值率</t>
  </si>
  <si>
    <t>修理费率</t>
  </si>
  <si>
    <t>日常检修维护费率</t>
  </si>
  <si>
    <t>其他资产摊销年限</t>
  </si>
  <si>
    <t>其他资产摊销率</t>
  </si>
  <si>
    <t>流动资金借款年利率</t>
  </si>
  <si>
    <t>年经营费用及单位成本</t>
  </si>
  <si>
    <t>费用(万元)</t>
  </si>
  <si>
    <t>动力费</t>
  </si>
  <si>
    <t>自来水费</t>
  </si>
  <si>
    <t>药剂费</t>
  </si>
  <si>
    <t>工资福利费</t>
  </si>
  <si>
    <t>生产期贷款利息(年平均)</t>
  </si>
  <si>
    <t>固定资产综合折旧</t>
  </si>
  <si>
    <t>修理费</t>
  </si>
  <si>
    <t>其他资产摊销费</t>
  </si>
  <si>
    <t>污泥外运处置费</t>
  </si>
  <si>
    <t>其他短期贷款利息支出(年平均)</t>
  </si>
  <si>
    <t>流动资金利息支出</t>
  </si>
  <si>
    <t>年总成本</t>
  </si>
  <si>
    <t>其中：可变成本</t>
  </si>
  <si>
    <t xml:space="preserve">      固定成本</t>
  </si>
  <si>
    <t>单位处理成本</t>
  </si>
  <si>
    <t>其中:单位处理可变成本</t>
  </si>
  <si>
    <t>年经营成本</t>
  </si>
  <si>
    <t>流动资金</t>
  </si>
  <si>
    <t>单位经营成本</t>
  </si>
  <si>
    <t>自筹流动资金</t>
  </si>
  <si>
    <t>BEP</t>
  </si>
  <si>
    <t>流动资金估算表</t>
  </si>
  <si>
    <t>单位：万元</t>
  </si>
  <si>
    <t>年份</t>
  </si>
  <si>
    <t>最低周转天数</t>
  </si>
  <si>
    <t>周转次数</t>
  </si>
  <si>
    <t>生产（营运）期</t>
  </si>
  <si>
    <t>流动资产</t>
  </si>
  <si>
    <t>应收帐款</t>
  </si>
  <si>
    <t>存货</t>
  </si>
  <si>
    <t>现金</t>
  </si>
  <si>
    <t>流动负债</t>
  </si>
  <si>
    <t>应付帐款</t>
  </si>
  <si>
    <t>流动资金本年增加额</t>
  </si>
  <si>
    <t>总成本费用估算表</t>
  </si>
  <si>
    <t>生产负荷</t>
  </si>
  <si>
    <t>生产期贷款利息</t>
  </si>
  <si>
    <t>其他资产摊销</t>
  </si>
  <si>
    <t>管理、销售和其他费用</t>
  </si>
  <si>
    <t>其他短期贷款利息支出</t>
  </si>
  <si>
    <t>十四</t>
  </si>
  <si>
    <t>十五</t>
  </si>
  <si>
    <t>进项增值税合计</t>
  </si>
  <si>
    <t>销项增值税合计</t>
  </si>
  <si>
    <t>增值税</t>
  </si>
  <si>
    <t>给水项目简易计税3%</t>
  </si>
  <si>
    <t>项目投资现金流量表</t>
  </si>
  <si>
    <t>现金流入</t>
  </si>
  <si>
    <t>销售（营业）收入</t>
  </si>
  <si>
    <t>回收固定资产余值</t>
  </si>
  <si>
    <t>回收流动资金余值</t>
  </si>
  <si>
    <t>其他补贴（管网运行维护费）</t>
  </si>
  <si>
    <t>其他补贴（水厂基本功运行维护费）</t>
  </si>
  <si>
    <t>流入小计</t>
  </si>
  <si>
    <t>现金流出</t>
  </si>
  <si>
    <t>固定资产投资</t>
  </si>
  <si>
    <t>经营成本</t>
  </si>
  <si>
    <t>增值税及附加税</t>
  </si>
  <si>
    <t>调整所得税</t>
  </si>
  <si>
    <t>流出小计</t>
  </si>
  <si>
    <t>净现金流量</t>
  </si>
  <si>
    <t>累计净现金流量</t>
  </si>
  <si>
    <t>所得税前净现金流量</t>
  </si>
  <si>
    <t>所得税前累计净现金流量</t>
  </si>
  <si>
    <t>税后</t>
  </si>
  <si>
    <t>税前</t>
  </si>
  <si>
    <t>财务内部收益率</t>
  </si>
  <si>
    <t>FIRR=</t>
  </si>
  <si>
    <t>财务净现值</t>
  </si>
  <si>
    <t>NPV=</t>
  </si>
  <si>
    <t>万元</t>
  </si>
  <si>
    <t>投资回收期</t>
  </si>
  <si>
    <t>Pt=</t>
  </si>
  <si>
    <t>收入-10％</t>
  </si>
  <si>
    <t>收入-20％</t>
  </si>
  <si>
    <t>收入+10％</t>
  </si>
  <si>
    <t>收入+20％</t>
  </si>
  <si>
    <t>投资-10％</t>
  </si>
  <si>
    <t>投资-20％</t>
  </si>
  <si>
    <t>投资+10％</t>
  </si>
  <si>
    <t>投资+20％</t>
  </si>
  <si>
    <t>经营成本-10％</t>
  </si>
  <si>
    <t>经营成本-20％</t>
  </si>
  <si>
    <t>经营成本+10％</t>
  </si>
  <si>
    <t>经营成本+20％</t>
  </si>
  <si>
    <t>项目资本金现金流量表</t>
  </si>
  <si>
    <t>借款本金偿还</t>
  </si>
  <si>
    <t>借款利息支付</t>
  </si>
  <si>
    <t>承诺费</t>
  </si>
  <si>
    <t>所得税</t>
  </si>
  <si>
    <t>项目运营收入及税金估算表</t>
  </si>
  <si>
    <t>运营收入</t>
  </si>
  <si>
    <t>增值税销项税额</t>
  </si>
  <si>
    <t>增值税进项税额</t>
  </si>
  <si>
    <t>增值税应纳税额</t>
  </si>
  <si>
    <t>增值税附加税</t>
  </si>
  <si>
    <t>退税额</t>
  </si>
  <si>
    <t>增值税及附加税总额</t>
  </si>
  <si>
    <t xml:space="preserve">投资利润率= </t>
  </si>
  <si>
    <t>资本金利润率=</t>
  </si>
  <si>
    <t xml:space="preserve">投资利税率= </t>
  </si>
  <si>
    <t>每吨污水处理收费=</t>
  </si>
  <si>
    <t>元/吨</t>
  </si>
  <si>
    <t>每吨自来水中污水费</t>
  </si>
  <si>
    <t>固定资产折旧费估算表</t>
  </si>
  <si>
    <t>年初固定资产余额</t>
  </si>
  <si>
    <t>固定资产折旧费</t>
  </si>
  <si>
    <t>年末固定资产余额</t>
  </si>
  <si>
    <t>其他资产摊销费估算表</t>
  </si>
  <si>
    <t>年初其他资产余额</t>
  </si>
  <si>
    <t>年末其他资产余额</t>
  </si>
  <si>
    <t>利润与利润分配表</t>
  </si>
  <si>
    <t>总成本费用</t>
  </si>
  <si>
    <t>利润总额</t>
  </si>
  <si>
    <t>弥补以前年度亏损额</t>
  </si>
  <si>
    <t>应纳税所得额</t>
  </si>
  <si>
    <t>税后利润</t>
  </si>
  <si>
    <t>盈余公积金(I=10%)</t>
  </si>
  <si>
    <t>公益金(I=5%)</t>
  </si>
  <si>
    <t>应付利润</t>
  </si>
  <si>
    <t>未分配利润</t>
  </si>
  <si>
    <t>累计应分配利润</t>
  </si>
  <si>
    <t>财务计划现金流量表</t>
  </si>
  <si>
    <t>单位:万元</t>
  </si>
  <si>
    <t>经营活动净现金流量</t>
  </si>
  <si>
    <t>1.1.1</t>
  </si>
  <si>
    <t>营业收入</t>
  </si>
  <si>
    <t>1.1.2</t>
  </si>
  <si>
    <t>补贴收入</t>
  </si>
  <si>
    <t>1.1.3</t>
  </si>
  <si>
    <t>其他流入</t>
  </si>
  <si>
    <t>1.2.1</t>
  </si>
  <si>
    <t>1.2.2</t>
  </si>
  <si>
    <t>营业税金及附加</t>
  </si>
  <si>
    <r>
      <rPr>
        <sz val="8"/>
        <rFont val="宋体"/>
        <charset val="134"/>
      </rPr>
      <t>1.2.</t>
    </r>
    <r>
      <rPr>
        <sz val="8"/>
        <rFont val="宋体"/>
        <charset val="134"/>
      </rPr>
      <t>2</t>
    </r>
  </si>
  <si>
    <r>
      <rPr>
        <sz val="8"/>
        <rFont val="宋体"/>
        <charset val="134"/>
      </rPr>
      <t>1.2.</t>
    </r>
    <r>
      <rPr>
        <sz val="8"/>
        <rFont val="宋体"/>
        <charset val="134"/>
      </rPr>
      <t>3</t>
    </r>
  </si>
  <si>
    <r>
      <rPr>
        <sz val="8"/>
        <rFont val="宋体"/>
        <charset val="134"/>
      </rPr>
      <t>1.2.</t>
    </r>
    <r>
      <rPr>
        <sz val="8"/>
        <rFont val="宋体"/>
        <charset val="134"/>
      </rPr>
      <t>4</t>
    </r>
  </si>
  <si>
    <t>其他流出</t>
  </si>
  <si>
    <t>投资活动净现金流量</t>
  </si>
  <si>
    <t>2.2.1</t>
  </si>
  <si>
    <t>建设投资</t>
  </si>
  <si>
    <t>2.2.2</t>
  </si>
  <si>
    <t>维持运营投资</t>
  </si>
  <si>
    <t>2.2.3</t>
  </si>
  <si>
    <t>2.2.4</t>
  </si>
  <si>
    <t>筹资活动净现金流量</t>
  </si>
  <si>
    <t>3.1.1</t>
  </si>
  <si>
    <t>项目资本金投入</t>
  </si>
  <si>
    <t>3.1.2</t>
  </si>
  <si>
    <t>建设投资借款</t>
  </si>
  <si>
    <t>3.1.3</t>
  </si>
  <si>
    <t>流动资金借款</t>
  </si>
  <si>
    <t>3.1.4</t>
  </si>
  <si>
    <t>债券</t>
  </si>
  <si>
    <t>3.1.5</t>
  </si>
  <si>
    <t>短期借款</t>
  </si>
  <si>
    <t>3.1.6</t>
  </si>
  <si>
    <t>3.2.1</t>
  </si>
  <si>
    <t>各种利息支出</t>
  </si>
  <si>
    <t>3.2.2</t>
  </si>
  <si>
    <t>偿还债务本金</t>
  </si>
  <si>
    <t>3.2.3</t>
  </si>
  <si>
    <t>3.2.4</t>
  </si>
  <si>
    <t>累计盈余资金</t>
  </si>
  <si>
    <t>资产负债表</t>
  </si>
  <si>
    <t>资产</t>
  </si>
  <si>
    <t>流动资产总额</t>
  </si>
  <si>
    <t>1.1.4</t>
  </si>
  <si>
    <t>在建工程</t>
  </si>
  <si>
    <t>固定资产净值</t>
  </si>
  <si>
    <t>无形及递延资产净值</t>
  </si>
  <si>
    <t>资产小计</t>
  </si>
  <si>
    <t>负债及所有者权益</t>
  </si>
  <si>
    <t>流动负债总额</t>
  </si>
  <si>
    <t>2.1.1</t>
  </si>
  <si>
    <t>2.1.2</t>
  </si>
  <si>
    <t>2.1.3</t>
  </si>
  <si>
    <t>其他短期借款</t>
  </si>
  <si>
    <t>长期借款</t>
  </si>
  <si>
    <t>负债小计(2.1+2.2)</t>
  </si>
  <si>
    <t>所有者权益</t>
  </si>
  <si>
    <t>2.3.1</t>
  </si>
  <si>
    <t>资本金</t>
  </si>
  <si>
    <t>2.3.2</t>
  </si>
  <si>
    <t>盈余公积金</t>
  </si>
  <si>
    <t>累计盈余公积金</t>
  </si>
  <si>
    <t>2.3.3</t>
  </si>
  <si>
    <t>累计未分配利润</t>
  </si>
  <si>
    <t>负债及所有者权益小计</t>
  </si>
  <si>
    <t>指标计算</t>
  </si>
  <si>
    <t>计算指标</t>
  </si>
  <si>
    <t>资产负债率%</t>
  </si>
  <si>
    <t>流动比率%</t>
  </si>
  <si>
    <t>速动比率%</t>
  </si>
  <si>
    <t>借款还本付息计划表</t>
  </si>
  <si>
    <t>利率</t>
  </si>
  <si>
    <t>%</t>
  </si>
  <si>
    <t>借款及还本付息</t>
  </si>
  <si>
    <t>年初借款本息累计</t>
  </si>
  <si>
    <t>本金</t>
  </si>
  <si>
    <t>建设期利息</t>
  </si>
  <si>
    <t>本年借款</t>
  </si>
  <si>
    <t>本年应计利息</t>
  </si>
  <si>
    <t>本年还本</t>
  </si>
  <si>
    <t>本年付息</t>
  </si>
  <si>
    <t>偿还借款本金的资金来源</t>
  </si>
  <si>
    <t>折旧</t>
  </si>
  <si>
    <t>摊销</t>
  </si>
  <si>
    <t>其他资金</t>
  </si>
  <si>
    <t>合计(2.1+2.2+2.3+2.4)</t>
  </si>
  <si>
    <t>借款偿还期（年）</t>
  </si>
  <si>
    <t>计算  指标</t>
  </si>
  <si>
    <t>利息备付率</t>
  </si>
  <si>
    <t>偿债备付率</t>
  </si>
  <si>
    <t>财务收支状况表</t>
  </si>
  <si>
    <t>项目</t>
  </si>
  <si>
    <t>收支费用(万元)</t>
  </si>
  <si>
    <t xml:space="preserve">  财务收入</t>
  </si>
  <si>
    <t xml:space="preserve">  给水费收入</t>
  </si>
  <si>
    <t xml:space="preserve">  财务支出</t>
  </si>
  <si>
    <t xml:space="preserve">  固定资产投资</t>
  </si>
  <si>
    <t xml:space="preserve">  经营成本</t>
  </si>
  <si>
    <t xml:space="preserve">  税金</t>
  </si>
  <si>
    <t xml:space="preserve">  利息支出</t>
  </si>
  <si>
    <t xml:space="preserve">  其中:建设期贷款利息</t>
  </si>
  <si>
    <t xml:space="preserve">  财务支出合计</t>
  </si>
  <si>
    <t xml:space="preserve">  财务收益</t>
  </si>
  <si>
    <t>财务评价指标汇总表</t>
  </si>
  <si>
    <t>指标</t>
  </si>
  <si>
    <t>项目投资财务内部收益率（所得税前）</t>
  </si>
  <si>
    <t>项目投资财务内部收益率（所得税后）</t>
  </si>
  <si>
    <t>项目资本金财务内部收益率（所得税前）</t>
  </si>
  <si>
    <t>项目资本金财务内部收益率（所得税后）</t>
  </si>
  <si>
    <t>项目投资回收期（年）</t>
  </si>
  <si>
    <t>所得税前</t>
  </si>
  <si>
    <t>所得税后</t>
  </si>
  <si>
    <t>项目投资财务净现值 ( 万元 )</t>
  </si>
  <si>
    <t>总投资收益率</t>
  </si>
  <si>
    <t>项目资本金净利润率</t>
  </si>
  <si>
    <t>敏感性分析表--财务内部收益率</t>
  </si>
  <si>
    <t>敏感因素变化幅度</t>
  </si>
  <si>
    <t>工程投资</t>
  </si>
  <si>
    <t>-10%</t>
  </si>
  <si>
    <t>+10%</t>
  </si>
  <si>
    <t>+20%</t>
  </si>
  <si>
    <t>敏感性分析表--敏感度系数SAF</t>
  </si>
  <si>
    <t>敏感度排列</t>
  </si>
  <si>
    <t>做好投资控制</t>
  </si>
  <si>
    <t>降低经营成本</t>
  </si>
  <si>
    <t>科学合理地确定收费价格标准</t>
  </si>
  <si>
    <t>分年度投资用款计划</t>
  </si>
  <si>
    <t>单位: 万元</t>
  </si>
  <si>
    <t>国内商业银行贷款</t>
  </si>
  <si>
    <t>自有资金投资</t>
  </si>
  <si>
    <t>其中：建设期贷款利息</t>
  </si>
  <si>
    <t xml:space="preserve">      固定资产投资</t>
  </si>
  <si>
    <t>生产负荷%</t>
  </si>
  <si>
    <t>资金来源</t>
  </si>
  <si>
    <t>折旧费</t>
  </si>
  <si>
    <t>摊销费</t>
  </si>
  <si>
    <t>固定资产借款</t>
  </si>
  <si>
    <t>财政拨款</t>
  </si>
  <si>
    <t>回收流动资金</t>
  </si>
  <si>
    <t>资金来源小计</t>
  </si>
  <si>
    <t>资金运用</t>
  </si>
  <si>
    <t>特种基金</t>
  </si>
  <si>
    <t>长期借款本金偿还</t>
  </si>
  <si>
    <t>流动资金借款本金偿还</t>
  </si>
  <si>
    <t>其他短期借款本金偿还</t>
  </si>
  <si>
    <t>资金运用小计</t>
  </si>
  <si>
    <t>盈余资金</t>
  </si>
</sst>
</file>

<file path=xl/styles.xml><?xml version="1.0" encoding="utf-8"?>
<styleSheet xmlns="http://schemas.openxmlformats.org/spreadsheetml/2006/main">
  <numFmts count="25">
    <numFmt numFmtId="176" formatCode="0.000_ "/>
    <numFmt numFmtId="177" formatCode="0;[Red]0"/>
    <numFmt numFmtId="178" formatCode="0;_ "/>
    <numFmt numFmtId="179" formatCode="0.0;[Red]0.0"/>
    <numFmt numFmtId="180" formatCode="0.0_ "/>
    <numFmt numFmtId="181" formatCode="0.000"/>
    <numFmt numFmtId="182" formatCode="0.0%"/>
    <numFmt numFmtId="183" formatCode="0_ "/>
    <numFmt numFmtId="184" formatCode="0_ ;[Red]\-0\ "/>
    <numFmt numFmtId="185" formatCode="0.0000000000_ "/>
    <numFmt numFmtId="186" formatCode="0.00;_ "/>
    <numFmt numFmtId="41" formatCode="_ * #,##0_ ;_ * \-#,##0_ ;_ * &quot;-&quot;_ ;_ @_ "/>
    <numFmt numFmtId="187" formatCode="0.00_ "/>
    <numFmt numFmtId="188" formatCode="0_);[Red]\(0\)"/>
    <numFmt numFmtId="189" formatCode="0.00;[Red]0.00"/>
    <numFmt numFmtId="43" formatCode="_ * #,##0.00_ ;_ * \-#,##0.00_ ;_ * &quot;-&quot;??_ ;_ @_ "/>
    <numFmt numFmtId="190" formatCode="0.000000_);[Red]\(0.000000\)"/>
    <numFmt numFmtId="42" formatCode="_ &quot;￥&quot;* #,##0_ ;_ &quot;￥&quot;* \-#,##0_ ;_ &quot;￥&quot;* &quot;-&quot;_ ;_ @_ "/>
    <numFmt numFmtId="191" formatCode="0.0"/>
    <numFmt numFmtId="44" formatCode="_ &quot;￥&quot;* #,##0.00_ ;_ &quot;￥&quot;* \-#,##0.00_ ;_ &quot;￥&quot;* &quot;-&quot;??_ ;_ @_ "/>
    <numFmt numFmtId="192" formatCode="0_);\(0\)"/>
    <numFmt numFmtId="193" formatCode="#,##0_ "/>
    <numFmt numFmtId="194" formatCode="0.00_);[Red]\(0.00\)"/>
    <numFmt numFmtId="195" formatCode="0.0000"/>
    <numFmt numFmtId="196" formatCode="0.0_);[Red]\(0.0\)"/>
  </numFmts>
  <fonts count="93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16"/>
      <name val="宋体"/>
      <charset val="134"/>
    </font>
    <font>
      <sz val="14"/>
      <name val="宋体"/>
      <charset val="134"/>
    </font>
    <font>
      <sz val="12"/>
      <name val="楷体_GB2312"/>
      <charset val="134"/>
    </font>
    <font>
      <sz val="10"/>
      <name val="楷体_GB2312"/>
      <charset val="134"/>
    </font>
    <font>
      <b/>
      <sz val="14"/>
      <name val="黑体"/>
      <charset val="134"/>
    </font>
    <font>
      <b/>
      <sz val="14"/>
      <name val="楷体_GB2312"/>
      <charset val="134"/>
    </font>
    <font>
      <b/>
      <sz val="16"/>
      <name val="Times New Roman"/>
      <charset val="134"/>
    </font>
    <font>
      <b/>
      <sz val="16"/>
      <name val="黑体"/>
      <charset val="134"/>
    </font>
    <font>
      <sz val="12"/>
      <name val="黑体"/>
      <charset val="134"/>
    </font>
    <font>
      <b/>
      <sz val="14"/>
      <name val="宋体"/>
      <charset val="134"/>
    </font>
    <font>
      <sz val="11"/>
      <name val="宋体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9"/>
      <color indexed="10"/>
      <name val="宋体"/>
      <charset val="134"/>
    </font>
    <font>
      <sz val="9"/>
      <name val="Times New Roman"/>
      <charset val="134"/>
    </font>
    <font>
      <sz val="12"/>
      <color indexed="10"/>
      <name val="宋体"/>
      <charset val="134"/>
    </font>
    <font>
      <b/>
      <sz val="9"/>
      <name val="宋体"/>
      <charset val="134"/>
    </font>
    <font>
      <sz val="8"/>
      <name val="楷体_GB2312"/>
      <charset val="134"/>
    </font>
    <font>
      <sz val="9"/>
      <name val="楷体_GB2312"/>
      <charset val="134"/>
    </font>
    <font>
      <sz val="11"/>
      <name val="楷体_GB2312"/>
      <charset val="134"/>
    </font>
    <font>
      <sz val="10"/>
      <color rgb="FFFF0000"/>
      <name val="宋体"/>
      <charset val="134"/>
      <scheme val="minor"/>
    </font>
    <font>
      <sz val="8"/>
      <color rgb="FFFF0000"/>
      <name val="楷体_GB2312"/>
      <charset val="134"/>
    </font>
    <font>
      <b/>
      <sz val="10"/>
      <name val="楷体_GB2312"/>
      <charset val="134"/>
    </font>
    <font>
      <b/>
      <sz val="10"/>
      <name val="Times New Roman"/>
      <charset val="134"/>
    </font>
    <font>
      <sz val="18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theme="9" tint="0.399945066682943"/>
      <name val="宋体"/>
      <charset val="134"/>
    </font>
    <font>
      <b/>
      <i/>
      <sz val="12"/>
      <name val="宋体"/>
      <charset val="134"/>
    </font>
    <font>
      <b/>
      <sz val="14"/>
      <color indexed="10"/>
      <name val="宋体"/>
      <charset val="134"/>
    </font>
    <font>
      <b/>
      <sz val="12"/>
      <name val="宋体"/>
      <charset val="134"/>
    </font>
    <font>
      <b/>
      <sz val="14"/>
      <color rgb="FFFF0000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b/>
      <sz val="14"/>
      <color theme="1"/>
      <name val="仿宋"/>
      <charset val="134"/>
    </font>
    <font>
      <b/>
      <sz val="11"/>
      <color theme="1"/>
      <name val="Times New Roman"/>
      <charset val="134"/>
    </font>
    <font>
      <b/>
      <sz val="11"/>
      <color theme="1"/>
      <name val="FangSong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FangSong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b/>
      <sz val="10"/>
      <color indexed="8"/>
      <name val="宋体"/>
      <charset val="134"/>
    </font>
    <font>
      <b/>
      <sz val="18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MS Sans Serif"/>
      <charset val="134"/>
    </font>
    <font>
      <b/>
      <sz val="11"/>
      <color rgb="FF3F3F3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1"/>
      <color theme="1"/>
      <name val="FangSong"/>
      <charset val="134"/>
    </font>
    <font>
      <sz val="12"/>
      <color rgb="FF0000FF"/>
      <name val="Times New Roman"/>
      <charset val="134"/>
    </font>
    <font>
      <sz val="10"/>
      <color indexed="63"/>
      <name val="Arial"/>
      <charset val="134"/>
    </font>
    <font>
      <sz val="10"/>
      <color indexed="63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"/>
      </patternFill>
    </fill>
    <fill>
      <patternFill patternType="solid">
        <fgColor theme="5" tint="0.7997985778374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/>
      <top style="medium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medium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/>
      <top/>
      <bottom/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 style="medium">
        <color auto="true"/>
      </right>
      <top/>
      <bottom/>
      <diagonal/>
    </border>
    <border>
      <left/>
      <right style="medium">
        <color auto="true"/>
      </right>
      <top/>
      <bottom style="medium">
        <color auto="true"/>
      </bottom>
      <diagonal/>
    </border>
    <border>
      <left/>
      <right/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medium">
        <color auto="true"/>
      </right>
      <top/>
      <bottom style="thin">
        <color auto="true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/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medium">
        <color auto="true"/>
      </left>
      <right style="medium">
        <color auto="true"/>
      </right>
      <top/>
      <bottom style="medium">
        <color rgb="FF000000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/>
    <xf numFmtId="0" fontId="78" fillId="0" borderId="0"/>
    <xf numFmtId="0" fontId="7" fillId="0" borderId="0"/>
    <xf numFmtId="0" fontId="79" fillId="0" borderId="0">
      <alignment vertical="center"/>
    </xf>
    <xf numFmtId="0" fontId="1" fillId="0" borderId="0"/>
    <xf numFmtId="0" fontId="86" fillId="0" borderId="0"/>
    <xf numFmtId="0" fontId="66" fillId="37" borderId="0" applyNumberFormat="false" applyBorder="false" applyAlignment="false" applyProtection="false">
      <alignment vertical="center"/>
    </xf>
    <xf numFmtId="0" fontId="65" fillId="34" borderId="0" applyNumberFormat="false" applyBorder="false" applyAlignment="false" applyProtection="false">
      <alignment vertical="center"/>
    </xf>
    <xf numFmtId="0" fontId="66" fillId="39" borderId="0" applyNumberFormat="false" applyBorder="false" applyAlignment="false" applyProtection="false">
      <alignment vertical="center"/>
    </xf>
    <xf numFmtId="0" fontId="81" fillId="32" borderId="49" applyNumberFormat="false" applyAlignment="false" applyProtection="false">
      <alignment vertical="center"/>
    </xf>
    <xf numFmtId="0" fontId="65" fillId="19" borderId="0" applyNumberFormat="false" applyBorder="false" applyAlignment="false" applyProtection="false">
      <alignment vertical="center"/>
    </xf>
    <xf numFmtId="0" fontId="65" fillId="3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6" fillId="16" borderId="0" applyNumberFormat="false" applyBorder="false" applyAlignment="false" applyProtection="false">
      <alignment vertical="center"/>
    </xf>
    <xf numFmtId="9" fontId="79" fillId="0" borderId="0" applyFont="false" applyFill="false" applyBorder="false" applyAlignment="false" applyProtection="false">
      <alignment vertical="center"/>
    </xf>
    <xf numFmtId="0" fontId="66" fillId="29" borderId="0" applyNumberFormat="false" applyBorder="false" applyAlignment="false" applyProtection="false">
      <alignment vertical="center"/>
    </xf>
    <xf numFmtId="0" fontId="66" fillId="30" borderId="0" applyNumberFormat="false" applyBorder="false" applyAlignment="false" applyProtection="false">
      <alignment vertical="center"/>
    </xf>
    <xf numFmtId="0" fontId="66" fillId="25" borderId="0" applyNumberFormat="false" applyBorder="false" applyAlignment="false" applyProtection="false">
      <alignment vertical="center"/>
    </xf>
    <xf numFmtId="0" fontId="66" fillId="41" borderId="0" applyNumberFormat="false" applyBorder="false" applyAlignment="false" applyProtection="false">
      <alignment vertical="center"/>
    </xf>
    <xf numFmtId="0" fontId="66" fillId="27" borderId="0" applyNumberFormat="false" applyBorder="false" applyAlignment="false" applyProtection="false">
      <alignment vertical="center"/>
    </xf>
    <xf numFmtId="0" fontId="69" fillId="15" borderId="49" applyNumberFormat="false" applyAlignment="false" applyProtection="false">
      <alignment vertical="center"/>
    </xf>
    <xf numFmtId="0" fontId="66" fillId="28" borderId="0" applyNumberFormat="false" applyBorder="false" applyAlignment="false" applyProtection="false">
      <alignment vertical="center"/>
    </xf>
    <xf numFmtId="0" fontId="7" fillId="0" borderId="0"/>
    <xf numFmtId="0" fontId="80" fillId="31" borderId="0" applyNumberFormat="false" applyBorder="false" applyAlignment="false" applyProtection="false">
      <alignment vertical="center"/>
    </xf>
    <xf numFmtId="0" fontId="65" fillId="17" borderId="0" applyNumberFormat="false" applyBorder="false" applyAlignment="false" applyProtection="false">
      <alignment vertical="center"/>
    </xf>
    <xf numFmtId="0" fontId="76" fillId="23" borderId="0" applyNumberFormat="false" applyBorder="false" applyAlignment="false" applyProtection="false">
      <alignment vertical="center"/>
    </xf>
    <xf numFmtId="0" fontId="65" fillId="21" borderId="0" applyNumberFormat="false" applyBorder="false" applyAlignment="false" applyProtection="false">
      <alignment vertical="center"/>
    </xf>
    <xf numFmtId="0" fontId="75" fillId="0" borderId="51" applyNumberFormat="false" applyFill="false" applyAlignment="false" applyProtection="false">
      <alignment vertical="center"/>
    </xf>
    <xf numFmtId="0" fontId="74" fillId="22" borderId="0" applyNumberFormat="false" applyBorder="false" applyAlignment="false" applyProtection="false">
      <alignment vertical="center"/>
    </xf>
    <xf numFmtId="0" fontId="73" fillId="20" borderId="50" applyNumberFormat="false" applyAlignment="false" applyProtection="false">
      <alignment vertical="center"/>
    </xf>
    <xf numFmtId="0" fontId="85" fillId="15" borderId="54" applyNumberFormat="false" applyAlignment="false" applyProtection="false">
      <alignment vertical="center"/>
    </xf>
    <xf numFmtId="0" fontId="72" fillId="0" borderId="48" applyNumberFormat="false" applyFill="false" applyAlignment="false" applyProtection="false">
      <alignment vertical="center"/>
    </xf>
    <xf numFmtId="0" fontId="77" fillId="0" borderId="0" applyNumberFormat="false" applyFill="false" applyBorder="false" applyAlignment="false" applyProtection="false">
      <alignment vertical="center"/>
    </xf>
    <xf numFmtId="0" fontId="65" fillId="24" borderId="0" applyNumberFormat="false" applyBorder="false" applyAlignment="false" applyProtection="false">
      <alignment vertical="center"/>
    </xf>
    <xf numFmtId="0" fontId="7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5" fillId="4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3" fillId="0" borderId="0" applyNumberFormat="false" applyFill="false" applyBorder="false" applyAlignment="false" applyProtection="false">
      <alignment vertical="center"/>
    </xf>
    <xf numFmtId="0" fontId="70" fillId="0" borderId="0" applyNumberFormat="false" applyFill="false" applyBorder="false" applyAlignment="false" applyProtection="false">
      <alignment vertical="center"/>
    </xf>
    <xf numFmtId="0" fontId="65" fillId="33" borderId="0" applyNumberFormat="false" applyBorder="false" applyAlignment="false" applyProtection="false">
      <alignment vertical="center"/>
    </xf>
    <xf numFmtId="0" fontId="82" fillId="0" borderId="0" applyNumberFormat="false" applyFill="false" applyBorder="false" applyAlignment="false" applyProtection="false">
      <alignment vertical="center"/>
    </xf>
    <xf numFmtId="0" fontId="66" fillId="26" borderId="0" applyNumberFormat="false" applyBorder="false" applyAlignment="false" applyProtection="false">
      <alignment vertical="center"/>
    </xf>
    <xf numFmtId="0" fontId="84" fillId="0" borderId="0"/>
    <xf numFmtId="0" fontId="0" fillId="36" borderId="53" applyNumberFormat="false" applyFont="false" applyAlignment="false" applyProtection="false">
      <alignment vertical="center"/>
    </xf>
    <xf numFmtId="0" fontId="65" fillId="14" borderId="0" applyNumberFormat="false" applyBorder="false" applyAlignment="false" applyProtection="false">
      <alignment vertical="center"/>
    </xf>
    <xf numFmtId="0" fontId="66" fillId="38" borderId="0" applyNumberFormat="false" applyBorder="false" applyAlignment="false" applyProtection="false">
      <alignment vertical="center"/>
    </xf>
    <xf numFmtId="0" fontId="65" fillId="18" borderId="0" applyNumberFormat="false" applyBorder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7" fillId="0" borderId="48" applyNumberFormat="false" applyFill="false" applyAlignment="false" applyProtection="false">
      <alignment vertical="center"/>
    </xf>
    <xf numFmtId="0" fontId="1" fillId="0" borderId="0"/>
    <xf numFmtId="0" fontId="65" fillId="13" borderId="0" applyNumberFormat="false" applyBorder="false" applyAlignment="false" applyProtection="false">
      <alignment vertical="center"/>
    </xf>
    <xf numFmtId="0" fontId="71" fillId="0" borderId="52" applyNumberFormat="false" applyFill="false" applyAlignment="false" applyProtection="false">
      <alignment vertical="center"/>
    </xf>
    <xf numFmtId="0" fontId="66" fillId="12" borderId="0" applyNumberFormat="false" applyBorder="false" applyAlignment="false" applyProtection="false">
      <alignment vertical="center"/>
    </xf>
    <xf numFmtId="0" fontId="65" fillId="11" borderId="0" applyNumberFormat="false" applyBorder="false" applyAlignment="false" applyProtection="false">
      <alignment vertical="center"/>
    </xf>
    <xf numFmtId="0" fontId="64" fillId="0" borderId="47" applyNumberFormat="false" applyFill="false" applyAlignment="false" applyProtection="false">
      <alignment vertical="center"/>
    </xf>
  </cellStyleXfs>
  <cellXfs count="674">
    <xf numFmtId="0" fontId="0" fillId="0" borderId="0" xfId="0"/>
    <xf numFmtId="0" fontId="1" fillId="2" borderId="0" xfId="0" applyFont="true" applyFill="true"/>
    <xf numFmtId="0" fontId="2" fillId="2" borderId="0" xfId="0" applyFont="true" applyFill="true"/>
    <xf numFmtId="0" fontId="3" fillId="2" borderId="1" xfId="0" applyFont="true" applyFill="true" applyBorder="true" applyAlignment="true">
      <alignment horizontal="center"/>
    </xf>
    <xf numFmtId="0" fontId="4" fillId="2" borderId="2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right" vertical="center"/>
    </xf>
    <xf numFmtId="0" fontId="4" fillId="2" borderId="4" xfId="0" applyFont="true" applyFill="true" applyBorder="true" applyAlignment="true">
      <alignment horizontal="center" vertical="center"/>
    </xf>
    <xf numFmtId="0" fontId="4" fillId="2" borderId="5" xfId="0" applyFont="true" applyFill="true" applyBorder="true" applyAlignment="true">
      <alignment horizontal="center" vertical="center"/>
    </xf>
    <xf numFmtId="0" fontId="4" fillId="2" borderId="6" xfId="0" applyFont="true" applyFill="true" applyBorder="true" applyAlignment="true">
      <alignment horizontal="left" vertical="center"/>
    </xf>
    <xf numFmtId="1" fontId="5" fillId="2" borderId="7" xfId="0" applyNumberFormat="true" applyFont="true" applyFill="true" applyBorder="true" applyAlignment="true">
      <alignment horizontal="center" vertical="center"/>
    </xf>
    <xf numFmtId="0" fontId="2" fillId="2" borderId="8" xfId="0" applyFont="true" applyFill="true" applyBorder="true" applyAlignment="true">
      <alignment horizontal="center" vertical="center"/>
    </xf>
    <xf numFmtId="0" fontId="2" fillId="2" borderId="7" xfId="0" applyFont="true" applyFill="true" applyBorder="true" applyAlignment="true">
      <alignment horizontal="center" vertical="center"/>
    </xf>
    <xf numFmtId="0" fontId="6" fillId="2" borderId="7" xfId="0" applyFont="true" applyFill="true" applyBorder="true" applyAlignment="true">
      <alignment horizontal="center" vertical="center"/>
    </xf>
    <xf numFmtId="0" fontId="3" fillId="2" borderId="8" xfId="0" applyFont="true" applyFill="true" applyBorder="true" applyAlignment="true">
      <alignment vertical="center"/>
    </xf>
    <xf numFmtId="0" fontId="3" fillId="2" borderId="7" xfId="0" applyFont="true" applyFill="true" applyBorder="true" applyAlignment="true">
      <alignment vertical="center"/>
    </xf>
    <xf numFmtId="0" fontId="2" fillId="2" borderId="7" xfId="0" applyFont="true" applyFill="true" applyBorder="true" applyAlignment="true">
      <alignment vertical="center"/>
    </xf>
    <xf numFmtId="0" fontId="2" fillId="2" borderId="8" xfId="0" applyFont="true" applyFill="true" applyBorder="true" applyAlignment="true">
      <alignment vertical="center"/>
    </xf>
    <xf numFmtId="191" fontId="2" fillId="2" borderId="7" xfId="0" applyNumberFormat="true" applyFont="true" applyFill="true" applyBorder="true" applyAlignment="true">
      <alignment vertical="center"/>
    </xf>
    <xf numFmtId="0" fontId="2" fillId="2" borderId="8" xfId="0" applyFont="true" applyFill="true" applyBorder="true" applyAlignment="true">
      <alignment horizontal="right" vertical="center"/>
    </xf>
    <xf numFmtId="0" fontId="2" fillId="2" borderId="7" xfId="0" applyFont="true" applyFill="true" applyBorder="true" applyAlignment="true">
      <alignment horizontal="right" vertical="center"/>
    </xf>
    <xf numFmtId="0" fontId="3" fillId="2" borderId="9" xfId="0" applyFont="true" applyFill="true" applyBorder="true" applyAlignment="true">
      <alignment vertical="center"/>
    </xf>
    <xf numFmtId="0" fontId="3" fillId="2" borderId="10" xfId="0" applyFont="true" applyFill="true" applyBorder="true" applyAlignment="true">
      <alignment vertical="center"/>
    </xf>
    <xf numFmtId="0" fontId="2" fillId="2" borderId="10" xfId="0" applyFont="true" applyFill="true" applyBorder="true" applyAlignment="true">
      <alignment vertical="center"/>
    </xf>
    <xf numFmtId="0" fontId="2" fillId="2" borderId="0" xfId="0" applyFont="true" applyFill="true" applyAlignment="true">
      <alignment horizontal="right"/>
    </xf>
    <xf numFmtId="0" fontId="4" fillId="2" borderId="11" xfId="0" applyFont="true" applyFill="true" applyBorder="true" applyAlignment="true">
      <alignment horizontal="center" vertical="center"/>
    </xf>
    <xf numFmtId="0" fontId="3" fillId="2" borderId="7" xfId="0" applyFont="true" applyFill="true" applyBorder="true" applyAlignment="true">
      <alignment horizontal="center" vertical="center"/>
    </xf>
    <xf numFmtId="188" fontId="2" fillId="2" borderId="7" xfId="0" applyNumberFormat="true" applyFont="true" applyFill="true" applyBorder="true" applyAlignment="true">
      <alignment vertical="center"/>
    </xf>
    <xf numFmtId="188" fontId="2" fillId="2" borderId="10" xfId="0" applyNumberFormat="true" applyFont="true" applyFill="true" applyBorder="true" applyAlignment="true">
      <alignment vertical="center"/>
    </xf>
    <xf numFmtId="1" fontId="2" fillId="2" borderId="0" xfId="0" applyNumberFormat="true" applyFont="true" applyFill="true"/>
    <xf numFmtId="0" fontId="4" fillId="2" borderId="12" xfId="0" applyFont="true" applyFill="true" applyBorder="true" applyAlignment="true">
      <alignment horizontal="center" vertical="center"/>
    </xf>
    <xf numFmtId="0" fontId="5" fillId="2" borderId="4" xfId="0" applyFont="true" applyFill="true" applyBorder="true" applyAlignment="true">
      <alignment vertical="center"/>
    </xf>
    <xf numFmtId="0" fontId="5" fillId="2" borderId="11" xfId="0" applyFont="true" applyFill="true" applyBorder="true" applyAlignment="true">
      <alignment vertical="center"/>
    </xf>
    <xf numFmtId="0" fontId="5" fillId="2" borderId="7" xfId="0" applyFont="true" applyFill="true" applyBorder="true" applyAlignment="true">
      <alignment horizontal="center" vertical="center"/>
    </xf>
    <xf numFmtId="9" fontId="2" fillId="2" borderId="7" xfId="0" applyNumberFormat="true" applyFont="true" applyFill="true" applyBorder="true" applyAlignment="true">
      <alignment horizontal="center" vertical="center"/>
    </xf>
    <xf numFmtId="194" fontId="2" fillId="2" borderId="7" xfId="0" applyNumberFormat="true" applyFont="true" applyFill="true" applyBorder="true" applyAlignment="true">
      <alignment vertical="center"/>
    </xf>
    <xf numFmtId="188" fontId="2" fillId="0" borderId="7" xfId="0" applyNumberFormat="true" applyFont="true" applyBorder="true" applyAlignment="true">
      <alignment vertical="center"/>
    </xf>
    <xf numFmtId="188" fontId="2" fillId="2" borderId="0" xfId="0" applyNumberFormat="true" applyFont="true" applyFill="true"/>
    <xf numFmtId="0" fontId="4" fillId="2" borderId="11" xfId="0" applyFont="true" applyFill="true" applyBorder="true" applyAlignment="true">
      <alignment vertical="center"/>
    </xf>
    <xf numFmtId="0" fontId="3" fillId="2" borderId="0" xfId="0" applyFont="true" applyFill="true" applyAlignment="true">
      <alignment horizontal="right"/>
    </xf>
    <xf numFmtId="0" fontId="5" fillId="2" borderId="12" xfId="0" applyFont="true" applyFill="true" applyBorder="true" applyAlignment="true">
      <alignment vertical="center"/>
    </xf>
    <xf numFmtId="0" fontId="5" fillId="2" borderId="13" xfId="0" applyFont="true" applyFill="true" applyBorder="true" applyAlignment="true">
      <alignment horizontal="center" vertical="center"/>
    </xf>
    <xf numFmtId="0" fontId="4" fillId="2" borderId="14" xfId="0" applyFont="true" applyFill="true" applyBorder="true" applyAlignment="true">
      <alignment horizontal="center" vertical="center"/>
    </xf>
    <xf numFmtId="0" fontId="2" fillId="2" borderId="14" xfId="0" applyFont="true" applyFill="true" applyBorder="true" applyAlignment="true">
      <alignment horizontal="center" vertical="center"/>
    </xf>
    <xf numFmtId="188" fontId="2" fillId="2" borderId="14" xfId="0" applyNumberFormat="true" applyFont="true" applyFill="true" applyBorder="true" applyAlignment="true">
      <alignment vertical="center"/>
    </xf>
    <xf numFmtId="188" fontId="2" fillId="2" borderId="15" xfId="0" applyNumberFormat="true" applyFont="true" applyFill="true" applyBorder="true" applyAlignment="true">
      <alignment vertical="center"/>
    </xf>
    <xf numFmtId="0" fontId="7" fillId="0" borderId="0" xfId="22"/>
    <xf numFmtId="0" fontId="8" fillId="0" borderId="0" xfId="22" applyFont="true" applyAlignment="true">
      <alignment horizontal="centerContinuous"/>
    </xf>
    <xf numFmtId="0" fontId="7" fillId="0" borderId="0" xfId="22" applyAlignment="true">
      <alignment horizontal="centerContinuous"/>
    </xf>
    <xf numFmtId="0" fontId="9" fillId="0" borderId="0" xfId="22" applyFont="true" applyAlignment="true">
      <alignment horizontal="centerContinuous"/>
    </xf>
    <xf numFmtId="0" fontId="1" fillId="0" borderId="0" xfId="22" applyFont="true" applyAlignment="true">
      <alignment horizontal="centerContinuous"/>
    </xf>
    <xf numFmtId="0" fontId="10" fillId="0" borderId="16" xfId="22" applyFont="true" applyBorder="true" applyAlignment="true">
      <alignment horizontal="center"/>
    </xf>
    <xf numFmtId="0" fontId="10" fillId="0" borderId="2" xfId="22" applyFont="true" applyBorder="true" applyAlignment="true">
      <alignment horizontal="center"/>
    </xf>
    <xf numFmtId="0" fontId="10" fillId="0" borderId="0" xfId="22" applyFont="true" applyAlignment="true">
      <alignment horizontal="center"/>
    </xf>
    <xf numFmtId="0" fontId="10" fillId="0" borderId="17" xfId="22" applyFont="true" applyBorder="true" applyAlignment="true">
      <alignment horizontal="center"/>
    </xf>
    <xf numFmtId="0" fontId="10" fillId="0" borderId="18" xfId="22" applyFont="true" applyBorder="true" applyAlignment="true">
      <alignment horizontal="center"/>
    </xf>
    <xf numFmtId="0" fontId="10" fillId="0" borderId="5" xfId="22" applyFont="true" applyBorder="true" applyAlignment="true">
      <alignment horizontal="center"/>
    </xf>
    <xf numFmtId="0" fontId="10" fillId="0" borderId="19" xfId="22" applyFont="true" applyBorder="true"/>
    <xf numFmtId="0" fontId="10" fillId="0" borderId="8" xfId="22" applyFont="true" applyBorder="true"/>
    <xf numFmtId="0" fontId="10" fillId="0" borderId="1" xfId="22" applyFont="true" applyBorder="true"/>
    <xf numFmtId="0" fontId="10" fillId="0" borderId="20" xfId="22" applyFont="true" applyBorder="true"/>
    <xf numFmtId="0" fontId="10" fillId="0" borderId="3" xfId="22" applyFont="true" applyBorder="true"/>
    <xf numFmtId="1" fontId="10" fillId="0" borderId="21" xfId="22" applyNumberFormat="true" applyFont="true" applyBorder="true" applyAlignment="true">
      <alignment horizontal="center"/>
    </xf>
    <xf numFmtId="0" fontId="10" fillId="0" borderId="6" xfId="22" applyFont="true" applyBorder="true"/>
    <xf numFmtId="0" fontId="10" fillId="0" borderId="7" xfId="22" applyFont="true" applyBorder="true"/>
    <xf numFmtId="180" fontId="10" fillId="0" borderId="7" xfId="22" applyNumberFormat="true" applyFont="true" applyBorder="true"/>
    <xf numFmtId="191" fontId="10" fillId="0" borderId="7" xfId="22" applyNumberFormat="true" applyFont="true" applyBorder="true"/>
    <xf numFmtId="191" fontId="10" fillId="0" borderId="10" xfId="22" applyNumberFormat="true" applyFont="true" applyBorder="true"/>
    <xf numFmtId="180" fontId="10" fillId="0" borderId="10" xfId="22" applyNumberFormat="true" applyFont="true" applyBorder="true"/>
    <xf numFmtId="191" fontId="7" fillId="0" borderId="0" xfId="22" applyNumberFormat="true"/>
    <xf numFmtId="0" fontId="7" fillId="0" borderId="0" xfId="22" applyAlignment="true">
      <alignment horizontal="center"/>
    </xf>
    <xf numFmtId="0" fontId="10" fillId="0" borderId="0" xfId="22" applyFont="true" applyAlignment="true">
      <alignment horizontal="right"/>
    </xf>
    <xf numFmtId="0" fontId="10" fillId="0" borderId="22" xfId="22" applyFont="true" applyBorder="true"/>
    <xf numFmtId="0" fontId="10" fillId="0" borderId="23" xfId="22" applyFont="true" applyBorder="true" applyAlignment="true">
      <alignment horizontal="center"/>
    </xf>
    <xf numFmtId="0" fontId="10" fillId="0" borderId="24" xfId="22" applyFont="true" applyBorder="true"/>
    <xf numFmtId="187" fontId="10" fillId="0" borderId="14" xfId="22" applyNumberFormat="true" applyFont="true" applyBorder="true"/>
    <xf numFmtId="180" fontId="10" fillId="0" borderId="14" xfId="22" applyNumberFormat="true" applyFont="true" applyBorder="true"/>
    <xf numFmtId="180" fontId="10" fillId="0" borderId="15" xfId="22" applyNumberFormat="true" applyFont="true" applyBorder="true"/>
    <xf numFmtId="194" fontId="7" fillId="0" borderId="0" xfId="22" applyNumberFormat="true"/>
    <xf numFmtId="0" fontId="1" fillId="0" borderId="0" xfId="0" applyFont="true"/>
    <xf numFmtId="0" fontId="11" fillId="0" borderId="0" xfId="0" applyFont="true" applyAlignment="true">
      <alignment horizontal="center"/>
    </xf>
    <xf numFmtId="0" fontId="11" fillId="0" borderId="0" xfId="0" applyFont="true" applyAlignment="true">
      <alignment horizontal="center" vertical="center"/>
    </xf>
    <xf numFmtId="0" fontId="11" fillId="0" borderId="0" xfId="0" applyFont="true" applyAlignment="true">
      <alignment vertical="center"/>
    </xf>
    <xf numFmtId="0" fontId="11" fillId="0" borderId="0" xfId="0" applyFont="true"/>
    <xf numFmtId="0" fontId="1" fillId="0" borderId="7" xfId="0" applyFont="true" applyBorder="true" applyAlignment="true">
      <alignment horizontal="center" vertical="center"/>
    </xf>
    <xf numFmtId="9" fontId="1" fillId="0" borderId="7" xfId="0" applyNumberFormat="true" applyFont="true" applyBorder="true" applyAlignment="true">
      <alignment horizontal="center" vertical="center"/>
    </xf>
    <xf numFmtId="0" fontId="12" fillId="0" borderId="0" xfId="0" applyFont="true" applyAlignment="true">
      <alignment horizontal="center" textRotation="180"/>
    </xf>
    <xf numFmtId="0" fontId="13" fillId="0" borderId="0" xfId="0" applyFont="true" applyAlignment="true">
      <alignment horizontal="center" vertical="center"/>
    </xf>
    <xf numFmtId="0" fontId="14" fillId="0" borderId="0" xfId="0" applyFont="true" applyAlignment="true">
      <alignment horizontal="center" vertical="center"/>
    </xf>
    <xf numFmtId="10" fontId="1" fillId="0" borderId="7" xfId="14" applyNumberFormat="true" applyFont="true" applyBorder="true" applyAlignment="true">
      <alignment horizontal="center" vertical="center"/>
    </xf>
    <xf numFmtId="10" fontId="1" fillId="0" borderId="7" xfId="0" applyNumberFormat="true" applyFont="true" applyBorder="true" applyAlignment="true">
      <alignment horizontal="center" vertical="center"/>
    </xf>
    <xf numFmtId="187" fontId="1" fillId="0" borderId="7" xfId="14" applyNumberFormat="true" applyFont="true" applyBorder="true" applyAlignment="true">
      <alignment horizontal="center" vertical="center"/>
    </xf>
    <xf numFmtId="10" fontId="11" fillId="0" borderId="0" xfId="0" applyNumberFormat="true" applyFont="true"/>
    <xf numFmtId="187" fontId="11" fillId="0" borderId="0" xfId="0" applyNumberFormat="true" applyFont="true"/>
    <xf numFmtId="2" fontId="11" fillId="0" borderId="0" xfId="0" applyNumberFormat="true" applyFont="true"/>
    <xf numFmtId="190" fontId="7" fillId="0" borderId="0" xfId="22" applyNumberFormat="true"/>
    <xf numFmtId="0" fontId="15" fillId="0" borderId="0" xfId="22" applyFont="true" applyAlignment="true">
      <alignment horizontal="centerContinuous"/>
    </xf>
    <xf numFmtId="0" fontId="16" fillId="0" borderId="0" xfId="22" applyFont="true" applyAlignment="true">
      <alignment horizontal="center"/>
    </xf>
    <xf numFmtId="0" fontId="10" fillId="0" borderId="7" xfId="22" applyFont="true" applyBorder="true" applyAlignment="true">
      <alignment horizontal="center"/>
    </xf>
    <xf numFmtId="0" fontId="10" fillId="0" borderId="14" xfId="22" applyFont="true" applyBorder="true" applyAlignment="true">
      <alignment horizontal="center"/>
    </xf>
    <xf numFmtId="0" fontId="10" fillId="0" borderId="8" xfId="22" applyFont="true" applyBorder="true" applyAlignment="true">
      <alignment horizontal="center"/>
    </xf>
    <xf numFmtId="0" fontId="10" fillId="0" borderId="14" xfId="22" applyFont="true" applyBorder="true"/>
    <xf numFmtId="10" fontId="10" fillId="0" borderId="7" xfId="22" applyNumberFormat="true" applyFont="true" applyBorder="true" applyAlignment="true">
      <alignment horizontal="center"/>
    </xf>
    <xf numFmtId="2" fontId="10" fillId="0" borderId="7" xfId="22" applyNumberFormat="true" applyFont="true" applyBorder="true" applyAlignment="true">
      <alignment horizontal="center"/>
    </xf>
    <xf numFmtId="10" fontId="10" fillId="0" borderId="7" xfId="14" applyNumberFormat="true" applyFont="true" applyBorder="true" applyAlignment="true">
      <alignment horizontal="center"/>
    </xf>
    <xf numFmtId="0" fontId="16" fillId="0" borderId="0" xfId="22" applyFont="true" applyAlignment="true">
      <alignment horizontal="centerContinuous"/>
    </xf>
    <xf numFmtId="0" fontId="17" fillId="0" borderId="0" xfId="22" applyFont="true" applyAlignment="true">
      <alignment horizontal="centerContinuous"/>
    </xf>
    <xf numFmtId="0" fontId="10" fillId="0" borderId="7" xfId="22" applyFont="true" applyBorder="true" applyAlignment="true">
      <alignment horizontal="left"/>
    </xf>
    <xf numFmtId="0" fontId="10" fillId="0" borderId="12" xfId="22" applyFont="true" applyBorder="true" applyAlignment="true">
      <alignment horizontal="center"/>
    </xf>
    <xf numFmtId="0" fontId="10" fillId="0" borderId="4" xfId="22" applyFont="true" applyBorder="true" applyAlignment="true">
      <alignment horizontal="center"/>
    </xf>
    <xf numFmtId="0" fontId="10" fillId="0" borderId="25" xfId="22" applyFont="true" applyBorder="true" applyAlignment="true">
      <alignment horizontal="center"/>
    </xf>
    <xf numFmtId="0" fontId="10" fillId="0" borderId="26" xfId="22" applyFont="true" applyBorder="true"/>
    <xf numFmtId="0" fontId="10" fillId="0" borderId="9" xfId="22" applyFont="true" applyBorder="true" applyAlignment="true">
      <alignment horizontal="center"/>
    </xf>
    <xf numFmtId="0" fontId="10" fillId="0" borderId="15" xfId="22" applyFont="true" applyBorder="true"/>
    <xf numFmtId="191" fontId="10" fillId="0" borderId="7" xfId="22" applyNumberFormat="true" applyFont="true" applyBorder="true" applyAlignment="true">
      <alignment horizontal="center"/>
    </xf>
    <xf numFmtId="185" fontId="7" fillId="0" borderId="0" xfId="22" applyNumberFormat="true" applyAlignment="true">
      <alignment horizontal="center"/>
    </xf>
    <xf numFmtId="10" fontId="10" fillId="0" borderId="14" xfId="22" applyNumberFormat="true" applyFont="true" applyBorder="true" applyAlignment="true">
      <alignment horizontal="center"/>
    </xf>
    <xf numFmtId="2" fontId="10" fillId="0" borderId="14" xfId="22" applyNumberFormat="true" applyFont="true" applyBorder="true" applyAlignment="true">
      <alignment horizontal="center"/>
    </xf>
    <xf numFmtId="2" fontId="10" fillId="0" borderId="26" xfId="22" applyNumberFormat="true" applyFont="true" applyBorder="true" applyAlignment="true">
      <alignment horizontal="center"/>
    </xf>
    <xf numFmtId="10" fontId="10" fillId="0" borderId="26" xfId="14" applyNumberFormat="true" applyFont="true" applyBorder="true" applyAlignment="true">
      <alignment horizontal="center"/>
    </xf>
    <xf numFmtId="2" fontId="10" fillId="0" borderId="15" xfId="22" applyNumberFormat="true" applyFont="true" applyBorder="true" applyAlignment="true">
      <alignment horizontal="center"/>
    </xf>
    <xf numFmtId="0" fontId="5" fillId="2" borderId="0" xfId="0" applyFont="true" applyFill="true"/>
    <xf numFmtId="0" fontId="18" fillId="2" borderId="0" xfId="0" applyFont="true" applyFill="true" applyAlignment="true">
      <alignment horizontal="center" wrapText="true"/>
    </xf>
    <xf numFmtId="0" fontId="18" fillId="2" borderId="0" xfId="0" applyFont="true" applyFill="true" applyAlignment="true">
      <alignment horizontal="center"/>
    </xf>
    <xf numFmtId="0" fontId="5" fillId="2" borderId="0" xfId="0" applyFont="true" applyFill="true" applyAlignment="true">
      <alignment horizontal="right"/>
    </xf>
    <xf numFmtId="0" fontId="5" fillId="2" borderId="1" xfId="0" applyFont="true" applyFill="true" applyBorder="true" applyAlignment="true">
      <alignment horizontal="right"/>
    </xf>
    <xf numFmtId="0" fontId="4" fillId="2" borderId="27" xfId="0" applyFont="true" applyFill="true" applyBorder="true" applyAlignment="true">
      <alignment horizontal="center" vertical="center"/>
    </xf>
    <xf numFmtId="0" fontId="4" fillId="2" borderId="27" xfId="0" applyFont="true" applyFill="true" applyBorder="true" applyAlignment="true">
      <alignment horizontal="right" vertical="center"/>
    </xf>
    <xf numFmtId="0" fontId="4" fillId="2" borderId="6" xfId="0" applyFont="true" applyFill="true" applyBorder="true" applyAlignment="true">
      <alignment horizontal="center" vertical="center"/>
    </xf>
    <xf numFmtId="0" fontId="6" fillId="2" borderId="7" xfId="0" applyFont="true" applyFill="true" applyBorder="true" applyAlignment="true">
      <alignment horizontal="left" vertical="center"/>
    </xf>
    <xf numFmtId="0" fontId="6" fillId="2" borderId="7" xfId="0" applyFont="true" applyFill="true" applyBorder="true" applyAlignment="true">
      <alignment vertical="center"/>
    </xf>
    <xf numFmtId="10" fontId="5" fillId="2" borderId="14" xfId="14" applyNumberFormat="true" applyFont="true" applyFill="true" applyBorder="true" applyAlignment="true">
      <alignment horizontal="center" vertical="center"/>
    </xf>
    <xf numFmtId="0" fontId="5" fillId="2" borderId="7" xfId="0" applyFont="true" applyFill="true" applyBorder="true" applyAlignment="true">
      <alignment horizontal="left" vertical="center"/>
    </xf>
    <xf numFmtId="0" fontId="5" fillId="2" borderId="7" xfId="0" applyFont="true" applyFill="true" applyBorder="true" applyAlignment="true">
      <alignment vertical="center"/>
    </xf>
    <xf numFmtId="183" fontId="5" fillId="2" borderId="14" xfId="0" applyNumberFormat="true" applyFont="true" applyFill="true" applyBorder="true" applyAlignment="true">
      <alignment vertical="center"/>
    </xf>
    <xf numFmtId="0" fontId="19" fillId="2" borderId="0" xfId="0" applyFont="true" applyFill="true" applyAlignment="true">
      <alignment textRotation="180"/>
    </xf>
    <xf numFmtId="183" fontId="6" fillId="2" borderId="14" xfId="0" applyNumberFormat="true" applyFont="true" applyFill="true" applyBorder="true" applyAlignment="true">
      <alignment vertical="center"/>
    </xf>
    <xf numFmtId="183" fontId="6" fillId="2" borderId="14" xfId="0" applyNumberFormat="true" applyFont="true" applyFill="true" applyBorder="true" applyAlignment="true">
      <alignment horizontal="right" vertical="center"/>
    </xf>
    <xf numFmtId="0" fontId="1" fillId="2" borderId="14" xfId="0" applyFont="true" applyFill="true" applyBorder="true" applyAlignment="true">
      <alignment horizontal="left"/>
    </xf>
    <xf numFmtId="0" fontId="1" fillId="2" borderId="19" xfId="0" applyFont="true" applyFill="true" applyBorder="true"/>
    <xf numFmtId="0" fontId="1" fillId="2" borderId="19" xfId="0" applyFont="true" applyFill="true" applyBorder="true" applyAlignment="true">
      <alignment horizontal="right" vertical="center"/>
    </xf>
    <xf numFmtId="2" fontId="1" fillId="2" borderId="19" xfId="0" applyNumberFormat="true" applyFont="true" applyFill="true" applyBorder="true" applyAlignment="true">
      <alignment horizontal="center" vertical="center"/>
    </xf>
    <xf numFmtId="0" fontId="1" fillId="2" borderId="14" xfId="0" applyFont="true" applyFill="true" applyBorder="true"/>
    <xf numFmtId="0" fontId="5" fillId="2" borderId="27" xfId="0" applyFont="true" applyFill="true" applyBorder="true" applyAlignment="true">
      <alignment horizontal="center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183" fontId="6" fillId="2" borderId="15" xfId="0" applyNumberFormat="true" applyFont="true" applyFill="true" applyBorder="true" applyAlignment="true">
      <alignment horizontal="right" vertical="center"/>
    </xf>
    <xf numFmtId="0" fontId="4" fillId="2" borderId="7" xfId="0" applyFont="true" applyFill="true" applyBorder="true" applyAlignment="true">
      <alignment horizontal="center" vertical="center"/>
    </xf>
    <xf numFmtId="183" fontId="5" fillId="2" borderId="7" xfId="0" applyNumberFormat="true" applyFont="true" applyFill="true" applyBorder="true" applyAlignment="true">
      <alignment vertical="center"/>
    </xf>
    <xf numFmtId="187" fontId="5" fillId="2" borderId="7" xfId="0" applyNumberFormat="true" applyFont="true" applyFill="true" applyBorder="true" applyAlignment="true">
      <alignment vertical="center"/>
    </xf>
    <xf numFmtId="180" fontId="5" fillId="2" borderId="7" xfId="0" applyNumberFormat="true" applyFont="true" applyFill="true" applyBorder="true" applyAlignment="true">
      <alignment vertical="center"/>
    </xf>
    <xf numFmtId="0" fontId="1" fillId="2" borderId="7" xfId="0" applyFont="true" applyFill="true" applyBorder="true"/>
    <xf numFmtId="0" fontId="1" fillId="2" borderId="7" xfId="0" applyFont="true" applyFill="true" applyBorder="true" applyAlignment="true">
      <alignment horizontal="left"/>
    </xf>
    <xf numFmtId="180" fontId="1" fillId="2" borderId="7" xfId="0" applyNumberFormat="true" applyFont="true" applyFill="true" applyBorder="true"/>
    <xf numFmtId="191" fontId="5" fillId="2" borderId="7" xfId="0" applyNumberFormat="true" applyFont="true" applyFill="true" applyBorder="true" applyAlignment="true">
      <alignment vertical="center"/>
    </xf>
    <xf numFmtId="187" fontId="1" fillId="2" borderId="7" xfId="0" applyNumberFormat="true" applyFont="true" applyFill="true" applyBorder="true"/>
    <xf numFmtId="2" fontId="1" fillId="2" borderId="7" xfId="0" applyNumberFormat="true" applyFont="true" applyFill="true" applyBorder="true"/>
    <xf numFmtId="180" fontId="1" fillId="2" borderId="0" xfId="0" applyNumberFormat="true" applyFont="true" applyFill="true"/>
    <xf numFmtId="0" fontId="5" fillId="2" borderId="23" xfId="0" applyFont="true" applyFill="true" applyBorder="true"/>
    <xf numFmtId="191" fontId="5" fillId="2" borderId="0" xfId="0" applyNumberFormat="true" applyFont="true" applyFill="true"/>
    <xf numFmtId="187" fontId="1" fillId="2" borderId="0" xfId="0" applyNumberFormat="true" applyFont="true" applyFill="true"/>
    <xf numFmtId="191" fontId="1" fillId="2" borderId="0" xfId="0" applyNumberFormat="true" applyFont="true" applyFill="true"/>
    <xf numFmtId="0" fontId="3" fillId="2" borderId="0" xfId="0" applyFont="true" applyFill="true" applyAlignment="true">
      <alignment horizontal="center"/>
    </xf>
    <xf numFmtId="0" fontId="19" fillId="2" borderId="0" xfId="0" applyFont="true" applyFill="true" applyAlignment="true">
      <alignment horizontal="center" textRotation="180"/>
    </xf>
    <xf numFmtId="0" fontId="3" fillId="2" borderId="7" xfId="0" applyFont="true" applyFill="true" applyBorder="true" applyAlignment="true">
      <alignment vertical="center" shrinkToFit="true"/>
    </xf>
    <xf numFmtId="0" fontId="2" fillId="2" borderId="7" xfId="0" applyFont="true" applyFill="true" applyBorder="true" applyAlignment="true">
      <alignment horizontal="right"/>
    </xf>
    <xf numFmtId="0" fontId="3" fillId="2" borderId="7" xfId="0" applyFont="true" applyFill="true" applyBorder="true" applyAlignment="true">
      <alignment horizontal="center"/>
    </xf>
    <xf numFmtId="0" fontId="2" fillId="2" borderId="7" xfId="0" applyFont="true" applyFill="true" applyBorder="true"/>
    <xf numFmtId="0" fontId="2" fillId="2" borderId="27" xfId="0" applyFont="true" applyFill="true" applyBorder="true" applyAlignment="true">
      <alignment horizontal="center" vertical="center" wrapText="true"/>
    </xf>
    <xf numFmtId="0" fontId="2" fillId="2" borderId="7" xfId="0" applyFont="true" applyFill="true" applyBorder="true" applyAlignment="true">
      <alignment horizontal="center"/>
    </xf>
    <xf numFmtId="9" fontId="2" fillId="2" borderId="7" xfId="14" applyFont="true" applyFill="true" applyBorder="true" applyAlignment="true"/>
    <xf numFmtId="0" fontId="2" fillId="2" borderId="21" xfId="0" applyFont="true" applyFill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horizontal="center" vertical="center" wrapText="true"/>
    </xf>
    <xf numFmtId="0" fontId="4" fillId="2" borderId="19" xfId="0" applyFont="true" applyFill="true" applyBorder="true" applyAlignment="true">
      <alignment horizontal="center" vertical="center"/>
    </xf>
    <xf numFmtId="188" fontId="2" fillId="2" borderId="7" xfId="0" applyNumberFormat="true" applyFont="true" applyFill="true" applyBorder="true"/>
    <xf numFmtId="9" fontId="2" fillId="2" borderId="14" xfId="14" applyFont="true" applyFill="true" applyBorder="true" applyAlignment="true"/>
    <xf numFmtId="0" fontId="4" fillId="2" borderId="8" xfId="0" applyFont="true" applyFill="true" applyBorder="true" applyAlignment="true">
      <alignment horizontal="center" vertical="center"/>
    </xf>
    <xf numFmtId="0" fontId="5" fillId="2" borderId="14" xfId="0" applyFont="true" applyFill="true" applyBorder="true" applyAlignment="true">
      <alignment vertical="center"/>
    </xf>
    <xf numFmtId="0" fontId="5" fillId="2" borderId="19" xfId="0" applyFont="true" applyFill="true" applyBorder="true" applyAlignment="true">
      <alignment vertical="center"/>
    </xf>
    <xf numFmtId="0" fontId="20" fillId="2" borderId="7" xfId="0" applyFont="true" applyFill="true" applyBorder="true" applyAlignment="true">
      <alignment vertical="center"/>
    </xf>
    <xf numFmtId="188" fontId="20" fillId="2" borderId="7" xfId="0" applyNumberFormat="true" applyFont="true" applyFill="true" applyBorder="true" applyAlignment="true">
      <alignment vertical="center"/>
    </xf>
    <xf numFmtId="188" fontId="20" fillId="2" borderId="7" xfId="0" applyNumberFormat="true" applyFont="true" applyFill="true" applyBorder="true" applyAlignment="true">
      <alignment horizontal="right" vertical="center"/>
    </xf>
    <xf numFmtId="188" fontId="20" fillId="2" borderId="7" xfId="0" applyNumberFormat="true" applyFont="true" applyFill="true" applyBorder="true"/>
    <xf numFmtId="9" fontId="20" fillId="2" borderId="7" xfId="14" applyFont="true" applyFill="true" applyBorder="true" applyAlignment="true"/>
    <xf numFmtId="191" fontId="2" fillId="2" borderId="0" xfId="0" applyNumberFormat="true" applyFont="true" applyFill="true"/>
    <xf numFmtId="9" fontId="2" fillId="2" borderId="0" xfId="14" applyFont="true" applyFill="true" applyAlignment="true"/>
    <xf numFmtId="0" fontId="4" fillId="2" borderId="19" xfId="0" applyFont="true" applyFill="true" applyBorder="true" applyAlignment="true">
      <alignment vertical="center"/>
    </xf>
    <xf numFmtId="0" fontId="5" fillId="2" borderId="8" xfId="0" applyFont="true" applyFill="true" applyBorder="true" applyAlignment="true">
      <alignment vertical="center"/>
    </xf>
    <xf numFmtId="188" fontId="2" fillId="2" borderId="7" xfId="0" applyNumberFormat="true" applyFont="true" applyFill="true" applyBorder="true" applyAlignment="true">
      <alignment horizontal="right" vertical="center"/>
    </xf>
    <xf numFmtId="0" fontId="20" fillId="2" borderId="7" xfId="0" applyFont="true" applyFill="true" applyBorder="true"/>
    <xf numFmtId="0" fontId="18" fillId="2" borderId="0" xfId="0" applyFont="true" applyFill="true"/>
    <xf numFmtId="194" fontId="2" fillId="2" borderId="0" xfId="0" applyNumberFormat="true" applyFont="true" applyFill="true"/>
    <xf numFmtId="9" fontId="2" fillId="2" borderId="0" xfId="0" applyNumberFormat="true" applyFont="true" applyFill="true"/>
    <xf numFmtId="0" fontId="2" fillId="2" borderId="7" xfId="0" applyFont="true" applyFill="true" applyBorder="true" applyAlignment="true">
      <alignment horizontal="left" vertical="center"/>
    </xf>
    <xf numFmtId="1" fontId="2" fillId="2" borderId="7" xfId="0" applyNumberFormat="true" applyFont="true" applyFill="true" applyBorder="true" applyAlignment="true">
      <alignment vertical="center"/>
    </xf>
    <xf numFmtId="0" fontId="21" fillId="2" borderId="7" xfId="0" applyFont="true" applyFill="true" applyBorder="true" applyAlignment="true">
      <alignment horizontal="center" vertical="center"/>
    </xf>
    <xf numFmtId="9" fontId="20" fillId="2" borderId="7" xfId="0" applyNumberFormat="true" applyFont="true" applyFill="true" applyBorder="true" applyAlignment="true">
      <alignment horizontal="center" vertical="center"/>
    </xf>
    <xf numFmtId="194" fontId="20" fillId="2" borderId="7" xfId="0" applyNumberFormat="true" applyFont="true" applyFill="true" applyBorder="true" applyAlignment="true">
      <alignment vertical="center"/>
    </xf>
    <xf numFmtId="188" fontId="20" fillId="0" borderId="7" xfId="0" applyNumberFormat="true" applyFont="true" applyBorder="true" applyAlignment="true">
      <alignment vertical="center"/>
    </xf>
    <xf numFmtId="1" fontId="20" fillId="2" borderId="7" xfId="0" applyNumberFormat="true" applyFont="true" applyFill="true" applyBorder="true" applyAlignment="true">
      <alignment vertical="center"/>
    </xf>
    <xf numFmtId="183" fontId="20" fillId="2" borderId="7" xfId="0" applyNumberFormat="true" applyFont="true" applyFill="true" applyBorder="true" applyAlignment="true">
      <alignment vertical="center"/>
    </xf>
    <xf numFmtId="0" fontId="20" fillId="2" borderId="7" xfId="0" applyFont="true" applyFill="true" applyBorder="true" applyAlignment="true">
      <alignment horizontal="center" vertical="center"/>
    </xf>
    <xf numFmtId="0" fontId="4" fillId="2" borderId="0" xfId="0" applyFont="true" applyFill="true"/>
    <xf numFmtId="0" fontId="4" fillId="2" borderId="0" xfId="0" applyFont="true" applyFill="true" applyAlignment="true">
      <alignment horizontal="center"/>
    </xf>
    <xf numFmtId="0" fontId="22" fillId="2" borderId="0" xfId="0" applyFont="true" applyFill="true"/>
    <xf numFmtId="0" fontId="18" fillId="2" borderId="0" xfId="0" applyFont="true" applyFill="true" applyAlignment="true">
      <alignment horizontal="center" vertical="center"/>
    </xf>
    <xf numFmtId="0" fontId="4" fillId="2" borderId="18" xfId="0" applyFont="true" applyFill="true" applyBorder="true" applyAlignment="true">
      <alignment horizontal="right"/>
    </xf>
    <xf numFmtId="180" fontId="23" fillId="2" borderId="7" xfId="0" applyNumberFormat="true" applyFont="true" applyFill="true" applyBorder="true" applyAlignment="true">
      <alignment vertical="center"/>
    </xf>
    <xf numFmtId="180" fontId="23" fillId="0" borderId="7" xfId="0" applyNumberFormat="true" applyFont="true" applyBorder="true" applyAlignment="true">
      <alignment vertical="center"/>
    </xf>
    <xf numFmtId="0" fontId="1" fillId="2" borderId="28" xfId="0" applyFont="true" applyFill="true" applyBorder="true" applyAlignment="true">
      <alignment horizontal="center"/>
    </xf>
    <xf numFmtId="0" fontId="1" fillId="2" borderId="0" xfId="0" applyFont="true" applyFill="true" applyAlignment="true">
      <alignment horizontal="right"/>
    </xf>
    <xf numFmtId="182" fontId="1" fillId="2" borderId="0" xfId="14" applyNumberFormat="true" applyFont="true" applyFill="true" applyBorder="true" applyAlignment="true">
      <alignment horizontal="center"/>
    </xf>
    <xf numFmtId="0" fontId="1" fillId="2" borderId="29" xfId="0" applyFont="true" applyFill="true" applyBorder="true" applyAlignment="true">
      <alignment horizontal="center"/>
    </xf>
    <xf numFmtId="0" fontId="1" fillId="2" borderId="1" xfId="0" applyFont="true" applyFill="true" applyBorder="true" applyAlignment="true">
      <alignment horizontal="right"/>
    </xf>
    <xf numFmtId="182" fontId="1" fillId="2" borderId="1" xfId="14" applyNumberFormat="true" applyFont="true" applyFill="true" applyBorder="true" applyAlignment="true">
      <alignment horizontal="center"/>
    </xf>
    <xf numFmtId="180" fontId="4" fillId="2" borderId="0" xfId="0" applyNumberFormat="true" applyFont="true" applyFill="true"/>
    <xf numFmtId="0" fontId="1" fillId="2" borderId="0" xfId="0" applyFont="true" applyFill="true" applyAlignment="true">
      <alignment horizontal="center"/>
    </xf>
    <xf numFmtId="0" fontId="1" fillId="2" borderId="0" xfId="0" applyFont="true" applyFill="true" applyAlignment="true">
      <alignment horizontal="left"/>
    </xf>
    <xf numFmtId="191" fontId="4" fillId="2" borderId="0" xfId="0" applyNumberFormat="true" applyFont="true" applyFill="true" applyAlignment="true">
      <alignment horizontal="center"/>
    </xf>
    <xf numFmtId="0" fontId="1" fillId="2" borderId="1" xfId="0" applyFont="true" applyFill="true" applyBorder="true"/>
    <xf numFmtId="0" fontId="24" fillId="0" borderId="0" xfId="0" applyFont="true"/>
    <xf numFmtId="180" fontId="4" fillId="2" borderId="0" xfId="0" applyNumberFormat="true" applyFont="true" applyFill="true" applyAlignment="true">
      <alignment horizontal="center"/>
    </xf>
    <xf numFmtId="10" fontId="1" fillId="2" borderId="1" xfId="14" applyNumberFormat="true" applyFont="true" applyFill="true" applyBorder="true" applyAlignment="true"/>
    <xf numFmtId="0" fontId="24" fillId="2" borderId="0" xfId="0" applyFont="true" applyFill="true"/>
    <xf numFmtId="10" fontId="4" fillId="2" borderId="0" xfId="14" applyNumberFormat="true" applyFont="true" applyFill="true" applyAlignment="true">
      <alignment horizontal="center"/>
    </xf>
    <xf numFmtId="0" fontId="19" fillId="2" borderId="0" xfId="0" applyFont="true" applyFill="true"/>
    <xf numFmtId="182" fontId="4" fillId="2" borderId="0" xfId="14" applyNumberFormat="true" applyFont="true" applyFill="true" applyAlignment="true"/>
    <xf numFmtId="0" fontId="25" fillId="2" borderId="7" xfId="0" applyFont="true" applyFill="true" applyBorder="true" applyAlignment="true">
      <alignment horizontal="center" vertical="center"/>
    </xf>
    <xf numFmtId="0" fontId="23" fillId="2" borderId="7" xfId="0" applyFont="true" applyFill="true" applyBorder="true" applyAlignment="true">
      <alignment horizontal="center" vertical="center"/>
    </xf>
    <xf numFmtId="10" fontId="4" fillId="2" borderId="0" xfId="0" applyNumberFormat="true" applyFont="true" applyFill="true"/>
    <xf numFmtId="0" fontId="1" fillId="2" borderId="30" xfId="0" applyFont="true" applyFill="true" applyBorder="true"/>
    <xf numFmtId="0" fontId="1" fillId="2" borderId="31" xfId="0" applyFont="true" applyFill="true" applyBorder="true"/>
    <xf numFmtId="187" fontId="4" fillId="2" borderId="0" xfId="0" applyNumberFormat="true" applyFont="true" applyFill="true"/>
    <xf numFmtId="0" fontId="25" fillId="2" borderId="0" xfId="0" applyFont="true" applyFill="true" applyAlignment="true">
      <alignment horizontal="right"/>
    </xf>
    <xf numFmtId="0" fontId="4" fillId="2" borderId="0" xfId="0" applyFont="true" applyFill="true" applyAlignment="true">
      <alignment horizontal="right"/>
    </xf>
    <xf numFmtId="183" fontId="23" fillId="2" borderId="7" xfId="0" applyNumberFormat="true" applyFont="true" applyFill="true" applyBorder="true" applyAlignment="true">
      <alignment vertical="center"/>
    </xf>
    <xf numFmtId="0" fontId="11" fillId="2" borderId="0" xfId="0" applyFont="true" applyFill="true"/>
    <xf numFmtId="0" fontId="26" fillId="2" borderId="0" xfId="0" applyFont="true" applyFill="true"/>
    <xf numFmtId="0" fontId="12" fillId="2" borderId="0" xfId="0" applyFont="true" applyFill="true"/>
    <xf numFmtId="0" fontId="2" fillId="2" borderId="0" xfId="0" applyFont="true" applyFill="true" applyAlignment="true">
      <alignment horizontal="right" vertical="center"/>
    </xf>
    <xf numFmtId="0" fontId="6" fillId="2" borderId="0" xfId="0" applyFont="true" applyFill="true" applyAlignment="true">
      <alignment horizontal="center"/>
    </xf>
    <xf numFmtId="0" fontId="3" fillId="2" borderId="7" xfId="0" applyFont="true" applyFill="true" applyBorder="true" applyAlignment="true">
      <alignment horizontal="left" vertical="center"/>
    </xf>
    <xf numFmtId="0" fontId="2" fillId="2" borderId="7" xfId="0" applyFont="true" applyFill="true" applyBorder="true" applyAlignment="true">
      <alignment vertical="center" wrapText="true"/>
    </xf>
    <xf numFmtId="0" fontId="26" fillId="2" borderId="23" xfId="0" applyFont="true" applyFill="true" applyBorder="true" applyAlignment="true">
      <alignment vertical="center"/>
    </xf>
    <xf numFmtId="0" fontId="26" fillId="2" borderId="32" xfId="0" applyFont="true" applyFill="true" applyBorder="true"/>
    <xf numFmtId="0" fontId="12" fillId="2" borderId="32" xfId="0" applyFont="true" applyFill="true" applyBorder="true"/>
    <xf numFmtId="0" fontId="26" fillId="2" borderId="24" xfId="0" applyFont="true" applyFill="true" applyBorder="true" applyAlignment="true">
      <alignment vertical="center"/>
    </xf>
    <xf numFmtId="0" fontId="26" fillId="2" borderId="18" xfId="0" applyFont="true" applyFill="true" applyBorder="true"/>
    <xf numFmtId="0" fontId="12" fillId="2" borderId="1" xfId="0" applyFont="true" applyFill="true" applyBorder="true"/>
    <xf numFmtId="0" fontId="26" fillId="2" borderId="0" xfId="0" applyFont="true" applyFill="true" applyAlignment="true">
      <alignment vertical="center"/>
    </xf>
    <xf numFmtId="184" fontId="5" fillId="2" borderId="0" xfId="0" applyNumberFormat="true" applyFont="true" applyFill="true"/>
    <xf numFmtId="0" fontId="26" fillId="2" borderId="0" xfId="0" applyFont="true" applyFill="true" applyAlignment="true">
      <alignment horizontal="right"/>
    </xf>
    <xf numFmtId="183" fontId="2" fillId="2" borderId="7" xfId="0" applyNumberFormat="true" applyFont="true" applyFill="true" applyBorder="true" applyAlignment="true">
      <alignment vertical="center"/>
    </xf>
    <xf numFmtId="2" fontId="2" fillId="2" borderId="7" xfId="0" applyNumberFormat="true" applyFont="true" applyFill="true" applyBorder="true" applyAlignment="true">
      <alignment vertical="center"/>
    </xf>
    <xf numFmtId="0" fontId="12" fillId="2" borderId="0" xfId="0" applyFont="true" applyFill="true" applyAlignment="true">
      <alignment vertical="center"/>
    </xf>
    <xf numFmtId="0" fontId="12" fillId="2" borderId="0" xfId="0" applyFont="true" applyFill="true" applyAlignment="true">
      <alignment horizontal="right" vertical="center"/>
    </xf>
    <xf numFmtId="0" fontId="12" fillId="2" borderId="18" xfId="0" applyFont="true" applyFill="true" applyBorder="true"/>
    <xf numFmtId="0" fontId="12" fillId="2" borderId="18" xfId="0" applyFont="true" applyFill="true" applyBorder="true" applyAlignment="true">
      <alignment horizontal="right" vertical="center"/>
    </xf>
    <xf numFmtId="0" fontId="12" fillId="2" borderId="0" xfId="0" applyFont="true" applyFill="true" applyAlignment="true">
      <alignment horizontal="center" vertical="center"/>
    </xf>
    <xf numFmtId="0" fontId="5" fillId="2" borderId="0" xfId="0" applyFont="true" applyFill="true" applyAlignment="true">
      <alignment horizontal="center" vertical="center"/>
    </xf>
    <xf numFmtId="10" fontId="26" fillId="2" borderId="0" xfId="0" applyNumberFormat="true" applyFont="true" applyFill="true" applyAlignment="true">
      <alignment horizontal="right" vertical="center"/>
    </xf>
    <xf numFmtId="10" fontId="26" fillId="2" borderId="0" xfId="0" applyNumberFormat="true" applyFont="true" applyFill="true" applyAlignment="true">
      <alignment vertical="center"/>
    </xf>
    <xf numFmtId="191" fontId="2" fillId="2" borderId="0" xfId="0" applyNumberFormat="true" applyFont="true" applyFill="true" applyAlignment="true">
      <alignment vertical="center"/>
    </xf>
    <xf numFmtId="191" fontId="26" fillId="2" borderId="0" xfId="0" applyNumberFormat="true" applyFont="true" applyFill="true" applyAlignment="true">
      <alignment vertical="center"/>
    </xf>
    <xf numFmtId="191" fontId="12" fillId="2" borderId="18" xfId="0" applyNumberFormat="true" applyFont="true" applyFill="true" applyBorder="true" applyAlignment="true">
      <alignment vertical="center"/>
    </xf>
    <xf numFmtId="0" fontId="12" fillId="2" borderId="18" xfId="0" applyFont="true" applyFill="true" applyBorder="true" applyAlignment="true">
      <alignment vertical="center"/>
    </xf>
    <xf numFmtId="2" fontId="12" fillId="2" borderId="18" xfId="0" applyNumberFormat="true" applyFont="true" applyFill="true" applyBorder="true" applyAlignment="true">
      <alignment vertical="center"/>
    </xf>
    <xf numFmtId="191" fontId="12" fillId="2" borderId="0" xfId="0" applyNumberFormat="true" applyFont="true" applyFill="true" applyAlignment="true">
      <alignment vertical="center"/>
    </xf>
    <xf numFmtId="2" fontId="12" fillId="2" borderId="0" xfId="0" applyNumberFormat="true" applyFont="true" applyFill="true"/>
    <xf numFmtId="2" fontId="2" fillId="2" borderId="0" xfId="0" applyNumberFormat="true" applyFont="true" applyFill="true" applyAlignment="true">
      <alignment vertical="center"/>
    </xf>
    <xf numFmtId="0" fontId="12" fillId="2" borderId="32" xfId="0" applyFont="true" applyFill="true" applyBorder="true" applyAlignment="true">
      <alignment vertical="center"/>
    </xf>
    <xf numFmtId="0" fontId="12" fillId="2" borderId="25" xfId="0" applyFont="true" applyFill="true" applyBorder="true" applyAlignment="true">
      <alignment vertical="center"/>
    </xf>
    <xf numFmtId="0" fontId="12" fillId="2" borderId="17" xfId="0" applyFont="true" applyFill="true" applyBorder="true" applyAlignment="true">
      <alignment vertical="center"/>
    </xf>
    <xf numFmtId="0" fontId="12" fillId="2" borderId="5" xfId="0" applyFont="true" applyFill="true" applyBorder="true" applyAlignment="true">
      <alignment vertical="center"/>
    </xf>
    <xf numFmtId="0" fontId="4" fillId="2" borderId="21" xfId="0" applyFont="true" applyFill="true" applyBorder="true" applyAlignment="true">
      <alignment horizontal="center" vertical="center"/>
    </xf>
    <xf numFmtId="0" fontId="2" fillId="2" borderId="0" xfId="0" applyFont="true" applyFill="true" applyAlignment="true">
      <alignment vertical="center"/>
    </xf>
    <xf numFmtId="10" fontId="2" fillId="2" borderId="0" xfId="0" applyNumberFormat="true" applyFont="true" applyFill="true"/>
    <xf numFmtId="183" fontId="5" fillId="2" borderId="0" xfId="0" applyNumberFormat="true" applyFont="true" applyFill="true"/>
    <xf numFmtId="0" fontId="5" fillId="2" borderId="25" xfId="0" applyFont="true" applyFill="true" applyBorder="true" applyAlignment="true">
      <alignment horizontal="center" vertical="center"/>
    </xf>
    <xf numFmtId="0" fontId="5" fillId="2" borderId="27" xfId="0" applyFont="true" applyFill="true" applyBorder="true" applyAlignment="true">
      <alignment horizontal="center" vertical="center"/>
    </xf>
    <xf numFmtId="0" fontId="5" fillId="2" borderId="0" xfId="0" applyFont="true" applyFill="true" applyAlignment="true">
      <alignment horizontal="right" vertical="center"/>
    </xf>
    <xf numFmtId="2" fontId="5" fillId="2" borderId="0" xfId="0" applyNumberFormat="true" applyFont="true" applyFill="true" applyAlignment="true">
      <alignment vertical="center"/>
    </xf>
    <xf numFmtId="0" fontId="5" fillId="2" borderId="0" xfId="0" applyFont="true" applyFill="true" applyAlignment="true">
      <alignment vertical="center"/>
    </xf>
    <xf numFmtId="10" fontId="2" fillId="2" borderId="0" xfId="0" applyNumberFormat="true" applyFont="true" applyFill="true" applyAlignment="true">
      <alignment horizontal="right" vertical="center"/>
    </xf>
    <xf numFmtId="187" fontId="5" fillId="2" borderId="0" xfId="0" applyNumberFormat="true" applyFont="true" applyFill="true"/>
    <xf numFmtId="0" fontId="5" fillId="2" borderId="8" xfId="0" applyFont="true" applyFill="true" applyBorder="true" applyAlignment="true">
      <alignment horizontal="center" vertical="center"/>
    </xf>
    <xf numFmtId="0" fontId="26" fillId="2" borderId="0" xfId="0" applyFont="true" applyFill="true" applyAlignment="true">
      <alignment horizontal="center"/>
    </xf>
    <xf numFmtId="0" fontId="26" fillId="2" borderId="18" xfId="0" applyFont="true" applyFill="true" applyBorder="true" applyAlignment="true">
      <alignment horizontal="right"/>
    </xf>
    <xf numFmtId="0" fontId="27" fillId="3" borderId="27" xfId="0" applyFont="true" applyFill="true" applyBorder="true" applyAlignment="true">
      <alignment horizontal="center" vertical="center"/>
    </xf>
    <xf numFmtId="0" fontId="27" fillId="3" borderId="27" xfId="0" applyFont="true" applyFill="true" applyBorder="true" applyAlignment="true">
      <alignment horizontal="right" vertical="center"/>
    </xf>
    <xf numFmtId="0" fontId="27" fillId="2" borderId="19" xfId="0" applyFont="true" applyFill="true" applyBorder="true" applyAlignment="true">
      <alignment horizontal="center" vertical="center"/>
    </xf>
    <xf numFmtId="0" fontId="27" fillId="3" borderId="6" xfId="0" applyFont="true" applyFill="true" applyBorder="true" applyAlignment="true">
      <alignment horizontal="center" vertical="center"/>
    </xf>
    <xf numFmtId="0" fontId="27" fillId="3" borderId="6" xfId="0" applyFont="true" applyFill="true" applyBorder="true" applyAlignment="true">
      <alignment horizontal="left" vertical="center"/>
    </xf>
    <xf numFmtId="0" fontId="27" fillId="2" borderId="7" xfId="0" applyFont="true" applyFill="true" applyBorder="true" applyAlignment="true">
      <alignment horizontal="center" vertical="center"/>
    </xf>
    <xf numFmtId="0" fontId="26" fillId="3" borderId="6" xfId="0" applyFont="true" applyFill="true" applyBorder="true" applyAlignment="true">
      <alignment horizontal="center" vertical="center"/>
    </xf>
    <xf numFmtId="0" fontId="12" fillId="3" borderId="7" xfId="0" applyFont="true" applyFill="true" applyBorder="true" applyAlignment="true">
      <alignment horizontal="center" vertical="center"/>
    </xf>
    <xf numFmtId="9" fontId="20" fillId="2" borderId="7" xfId="14" applyFont="true" applyFill="true" applyBorder="true" applyAlignment="true">
      <alignment horizontal="right" vertical="center"/>
    </xf>
    <xf numFmtId="0" fontId="26" fillId="3" borderId="7" xfId="0" applyFont="true" applyFill="true" applyBorder="true" applyAlignment="true">
      <alignment horizontal="left" vertical="center"/>
    </xf>
    <xf numFmtId="0" fontId="26" fillId="3" borderId="7" xfId="0" applyFont="true" applyFill="true" applyBorder="true" applyAlignment="true">
      <alignment vertical="center"/>
    </xf>
    <xf numFmtId="183" fontId="20" fillId="2" borderId="7" xfId="0" applyNumberFormat="true" applyFont="true" applyFill="true" applyBorder="true" applyAlignment="true">
      <alignment horizontal="right" vertical="center"/>
    </xf>
    <xf numFmtId="183" fontId="20" fillId="2" borderId="7" xfId="0" applyNumberFormat="true" applyFont="true" applyFill="true" applyBorder="true" applyAlignment="true">
      <alignment horizontal="right"/>
    </xf>
    <xf numFmtId="180" fontId="20" fillId="2" borderId="7" xfId="0" applyNumberFormat="true" applyFont="true" applyFill="true" applyBorder="true" applyAlignment="true">
      <alignment horizontal="right"/>
    </xf>
    <xf numFmtId="187" fontId="20" fillId="2" borderId="7" xfId="0" applyNumberFormat="true" applyFont="true" applyFill="true" applyBorder="true" applyAlignment="true">
      <alignment horizontal="right" vertical="center"/>
    </xf>
    <xf numFmtId="0" fontId="28" fillId="2" borderId="0" xfId="0" applyFont="true" applyFill="true" applyAlignment="true">
      <alignment horizontal="center" textRotation="180"/>
    </xf>
    <xf numFmtId="180" fontId="20" fillId="2" borderId="7" xfId="0" applyNumberFormat="true" applyFont="true" applyFill="true" applyBorder="true" applyAlignment="true">
      <alignment horizontal="right" vertical="center"/>
    </xf>
    <xf numFmtId="0" fontId="26" fillId="3" borderId="33" xfId="0" applyFont="true" applyFill="true" applyBorder="true" applyAlignment="true">
      <alignment horizontal="center" vertical="center"/>
    </xf>
    <xf numFmtId="0" fontId="26" fillId="3" borderId="34" xfId="0" applyFont="true" applyFill="true" applyBorder="true" applyAlignment="true">
      <alignment vertical="center"/>
    </xf>
    <xf numFmtId="183" fontId="26" fillId="2" borderId="35" xfId="0" applyNumberFormat="true" applyFont="true" applyFill="true" applyBorder="true" applyAlignment="true">
      <alignment horizontal="right" vertical="center"/>
    </xf>
    <xf numFmtId="0" fontId="26" fillId="3" borderId="36" xfId="0" applyFont="true" applyFill="true" applyBorder="true" applyAlignment="true">
      <alignment horizontal="center" vertical="center"/>
    </xf>
    <xf numFmtId="0" fontId="26" fillId="3" borderId="31" xfId="0" applyFont="true" applyFill="true" applyBorder="true" applyAlignment="true">
      <alignment vertical="center"/>
    </xf>
    <xf numFmtId="183" fontId="26" fillId="2" borderId="37" xfId="0" applyNumberFormat="true" applyFont="true" applyFill="true" applyBorder="true" applyAlignment="true">
      <alignment horizontal="right" vertical="center"/>
    </xf>
    <xf numFmtId="0" fontId="27" fillId="2" borderId="0" xfId="0" applyFont="true" applyFill="true" applyAlignment="true">
      <alignment horizontal="center"/>
    </xf>
    <xf numFmtId="9" fontId="29" fillId="0" borderId="0" xfId="0" applyNumberFormat="true" applyFont="true"/>
    <xf numFmtId="9" fontId="29" fillId="0" borderId="0" xfId="0" applyNumberFormat="true" applyFont="true" applyAlignment="true">
      <alignment vertical="center"/>
    </xf>
    <xf numFmtId="2" fontId="26" fillId="0" borderId="0" xfId="0" applyNumberFormat="true" applyFont="true"/>
    <xf numFmtId="191" fontId="26" fillId="0" borderId="0" xfId="0" applyNumberFormat="true" applyFont="true"/>
    <xf numFmtId="0" fontId="26" fillId="0" borderId="0" xfId="0" applyFont="true" applyAlignment="true">
      <alignment vertical="center"/>
    </xf>
    <xf numFmtId="0" fontId="30" fillId="0" borderId="0" xfId="0" applyFont="true" applyAlignment="true">
      <alignment vertical="center"/>
    </xf>
    <xf numFmtId="191" fontId="26" fillId="2" borderId="0" xfId="0" applyNumberFormat="true" applyFont="true" applyFill="true"/>
    <xf numFmtId="9" fontId="20" fillId="2" borderId="8" xfId="14" applyFont="true" applyFill="true" applyBorder="true" applyAlignment="true">
      <alignment horizontal="right" vertical="center"/>
    </xf>
    <xf numFmtId="183" fontId="26" fillId="2" borderId="10" xfId="0" applyNumberFormat="true" applyFont="true" applyFill="true" applyBorder="true" applyAlignment="true">
      <alignment horizontal="right" vertical="center"/>
    </xf>
    <xf numFmtId="183" fontId="26" fillId="2" borderId="9" xfId="0" applyNumberFormat="true" applyFont="true" applyFill="true" applyBorder="true" applyAlignment="true">
      <alignment horizontal="right" vertical="center"/>
    </xf>
    <xf numFmtId="0" fontId="11" fillId="2" borderId="19" xfId="0" applyFont="true" applyFill="true" applyBorder="true" applyAlignment="true">
      <alignment vertical="center"/>
    </xf>
    <xf numFmtId="0" fontId="31" fillId="2" borderId="7" xfId="0" applyFont="true" applyFill="true" applyBorder="true" applyAlignment="true">
      <alignment horizontal="center" vertical="center"/>
    </xf>
    <xf numFmtId="0" fontId="32" fillId="2" borderId="7" xfId="0" applyFont="true" applyFill="true" applyBorder="true" applyAlignment="true">
      <alignment vertical="center"/>
    </xf>
    <xf numFmtId="183" fontId="26" fillId="2" borderId="38" xfId="0" applyNumberFormat="true" applyFont="true" applyFill="true" applyBorder="true"/>
    <xf numFmtId="183" fontId="26" fillId="2" borderId="39" xfId="0" applyNumberFormat="true" applyFont="true" applyFill="true" applyBorder="true"/>
    <xf numFmtId="0" fontId="4" fillId="2" borderId="27" xfId="0" applyFont="true" applyFill="true" applyBorder="true" applyAlignment="true">
      <alignment horizontal="center" vertical="center" wrapText="true"/>
    </xf>
    <xf numFmtId="0" fontId="4" fillId="2" borderId="6" xfId="0" applyFont="true" applyFill="true" applyBorder="true" applyAlignment="true">
      <alignment horizontal="center" vertical="center" wrapText="true"/>
    </xf>
    <xf numFmtId="196" fontId="2" fillId="2" borderId="7" xfId="0" applyNumberFormat="true" applyFont="true" applyFill="true" applyBorder="true" applyAlignment="true">
      <alignment vertical="center"/>
    </xf>
    <xf numFmtId="196" fontId="2" fillId="2" borderId="7" xfId="0" applyNumberFormat="true" applyFont="true" applyFill="true" applyBorder="true" applyAlignment="true">
      <alignment horizontal="right" vertical="center"/>
    </xf>
    <xf numFmtId="0" fontId="5" fillId="2" borderId="14" xfId="0" applyFont="true" applyFill="true" applyBorder="true" applyAlignment="true">
      <alignment horizontal="center" vertical="center"/>
    </xf>
    <xf numFmtId="191" fontId="2" fillId="2" borderId="14" xfId="0" applyNumberFormat="true" applyFont="true" applyFill="true" applyBorder="true" applyAlignment="true">
      <alignment vertical="center"/>
    </xf>
    <xf numFmtId="191" fontId="2" fillId="2" borderId="14" xfId="14" applyNumberFormat="true" applyFont="true" applyFill="true" applyBorder="true" applyAlignment="true"/>
    <xf numFmtId="191" fontId="2" fillId="2" borderId="7" xfId="14" applyNumberFormat="true" applyFont="true" applyFill="true" applyBorder="true" applyAlignment="true"/>
    <xf numFmtId="0" fontId="1" fillId="2" borderId="23" xfId="0" applyFont="true" applyFill="true" applyBorder="true"/>
    <xf numFmtId="0" fontId="11" fillId="2" borderId="0" xfId="0" applyFont="true" applyFill="true" applyAlignment="true">
      <alignment horizontal="center" vertical="center"/>
    </xf>
    <xf numFmtId="0" fontId="11" fillId="2" borderId="0" xfId="0" applyFont="true" applyFill="true" applyAlignment="true">
      <alignment vertical="center"/>
    </xf>
    <xf numFmtId="0" fontId="11" fillId="2" borderId="0" xfId="0" applyFont="true" applyFill="true" applyAlignment="true">
      <alignment horizontal="center"/>
    </xf>
    <xf numFmtId="0" fontId="33" fillId="2" borderId="0" xfId="0" applyFont="true" applyFill="true" applyAlignment="true">
      <alignment horizontal="center"/>
    </xf>
    <xf numFmtId="2" fontId="5" fillId="2" borderId="7" xfId="0" applyNumberFormat="true" applyFont="true" applyFill="true" applyBorder="true" applyAlignment="true">
      <alignment vertical="center"/>
    </xf>
    <xf numFmtId="195" fontId="5" fillId="4" borderId="7" xfId="0" applyNumberFormat="true" applyFont="true" applyFill="true" applyBorder="true" applyAlignment="true">
      <alignment vertical="center"/>
    </xf>
    <xf numFmtId="181" fontId="5" fillId="2" borderId="7" xfId="0" applyNumberFormat="true" applyFont="true" applyFill="true" applyBorder="true" applyAlignment="true">
      <alignment vertical="center"/>
    </xf>
    <xf numFmtId="181" fontId="5" fillId="4" borderId="7" xfId="0" applyNumberFormat="true" applyFont="true" applyFill="true" applyBorder="true" applyAlignment="true">
      <alignment vertical="center"/>
    </xf>
    <xf numFmtId="0" fontId="5" fillId="0" borderId="7" xfId="0" applyFont="true" applyBorder="true" applyAlignment="true">
      <alignment vertical="center"/>
    </xf>
    <xf numFmtId="2" fontId="5" fillId="0" borderId="7" xfId="0" applyNumberFormat="true" applyFont="true" applyBorder="true" applyAlignment="true">
      <alignment vertical="center"/>
    </xf>
    <xf numFmtId="10" fontId="5" fillId="2" borderId="7" xfId="14" applyNumberFormat="true" applyFont="true" applyFill="true" applyBorder="true" applyAlignment="true">
      <alignment vertical="center"/>
    </xf>
    <xf numFmtId="9" fontId="5" fillId="2" borderId="7" xfId="14" applyFont="true" applyFill="true" applyBorder="true" applyAlignment="true">
      <alignment vertical="center"/>
    </xf>
    <xf numFmtId="182" fontId="5" fillId="2" borderId="7" xfId="14" applyNumberFormat="true" applyFont="true" applyFill="true" applyBorder="true" applyAlignment="true">
      <alignment vertical="center"/>
    </xf>
    <xf numFmtId="1" fontId="5" fillId="2" borderId="7" xfId="0" applyNumberFormat="true" applyFont="true" applyFill="true" applyBorder="true" applyAlignment="true">
      <alignment vertical="center"/>
    </xf>
    <xf numFmtId="189" fontId="5" fillId="2" borderId="7" xfId="0" applyNumberFormat="true" applyFont="true" applyFill="true" applyBorder="true" applyAlignment="true">
      <alignment vertical="center"/>
    </xf>
    <xf numFmtId="0" fontId="28" fillId="2" borderId="0" xfId="0" applyFont="true" applyFill="true" applyAlignment="true">
      <alignment horizontal="center"/>
    </xf>
    <xf numFmtId="10" fontId="12" fillId="2" borderId="0" xfId="0" applyNumberFormat="true" applyFont="true" applyFill="true" applyAlignment="true">
      <alignment vertical="center"/>
    </xf>
    <xf numFmtId="2" fontId="11" fillId="2" borderId="0" xfId="0" applyNumberFormat="true" applyFont="true" applyFill="true" applyAlignment="true">
      <alignment vertical="center"/>
    </xf>
    <xf numFmtId="186" fontId="12" fillId="2" borderId="0" xfId="0" applyNumberFormat="true" applyFont="true" applyFill="true" applyAlignment="true">
      <alignment vertical="center"/>
    </xf>
    <xf numFmtId="2" fontId="12" fillId="2" borderId="0" xfId="0" applyNumberFormat="true" applyFont="true" applyFill="true" applyAlignment="true">
      <alignment vertical="center"/>
    </xf>
    <xf numFmtId="178" fontId="12" fillId="2" borderId="0" xfId="0" applyNumberFormat="true" applyFont="true" applyFill="true" applyAlignment="true">
      <alignment vertical="center"/>
    </xf>
    <xf numFmtId="176" fontId="12" fillId="2" borderId="0" xfId="0" applyNumberFormat="true" applyFont="true" applyFill="true" applyAlignment="true">
      <alignment vertical="center"/>
    </xf>
    <xf numFmtId="187" fontId="11" fillId="2" borderId="0" xfId="0" applyNumberFormat="true" applyFont="true" applyFill="true" applyAlignment="true">
      <alignment horizontal="center" vertical="center"/>
    </xf>
    <xf numFmtId="189" fontId="27" fillId="2" borderId="0" xfId="0" applyNumberFormat="true" applyFont="true" applyFill="true" applyAlignment="true">
      <alignment vertical="center"/>
    </xf>
    <xf numFmtId="10" fontId="11" fillId="2" borderId="0" xfId="14" applyNumberFormat="true" applyFont="true" applyFill="true" applyAlignment="true">
      <alignment vertical="center"/>
    </xf>
    <xf numFmtId="189" fontId="11" fillId="2" borderId="0" xfId="0" applyNumberFormat="true" applyFont="true" applyFill="true" applyAlignment="true">
      <alignment vertical="center"/>
    </xf>
    <xf numFmtId="189" fontId="12" fillId="2" borderId="0" xfId="0" applyNumberFormat="true" applyFont="true" applyFill="true" applyAlignment="true">
      <alignment horizontal="right" vertical="center"/>
    </xf>
    <xf numFmtId="2" fontId="12" fillId="2" borderId="0" xfId="0" applyNumberFormat="true" applyFont="true" applyFill="true" applyAlignment="true">
      <alignment horizontal="right" vertical="center"/>
    </xf>
    <xf numFmtId="194" fontId="12" fillId="2" borderId="0" xfId="0" applyNumberFormat="true" applyFont="true" applyFill="true" applyAlignment="true">
      <alignment horizontal="right" vertical="center"/>
    </xf>
    <xf numFmtId="0" fontId="11" fillId="2" borderId="0" xfId="0" applyFont="true" applyFill="true" applyAlignment="true">
      <alignment horizontal="right" vertical="center"/>
    </xf>
    <xf numFmtId="179" fontId="11" fillId="2" borderId="0" xfId="0" applyNumberFormat="true" applyFont="true" applyFill="true" applyAlignment="true">
      <alignment vertical="center"/>
    </xf>
    <xf numFmtId="9" fontId="12" fillId="2" borderId="0" xfId="0" applyNumberFormat="true" applyFont="true" applyFill="true" applyAlignment="true">
      <alignment vertical="center"/>
    </xf>
    <xf numFmtId="182" fontId="11" fillId="2" borderId="0" xfId="0" applyNumberFormat="true" applyFont="true" applyFill="true" applyAlignment="true">
      <alignment horizontal="center" vertical="center"/>
    </xf>
    <xf numFmtId="1" fontId="11" fillId="2" borderId="0" xfId="0" applyNumberFormat="true" applyFont="true" applyFill="true" applyAlignment="true">
      <alignment horizontal="center" vertical="center"/>
    </xf>
    <xf numFmtId="9" fontId="11" fillId="2" borderId="0" xfId="0" applyNumberFormat="true" applyFont="true" applyFill="true" applyAlignment="true">
      <alignment horizontal="center" vertical="center"/>
    </xf>
    <xf numFmtId="1" fontId="11" fillId="2" borderId="0" xfId="0" applyNumberFormat="true" applyFont="true" applyFill="true" applyAlignment="true">
      <alignment vertical="center"/>
    </xf>
    <xf numFmtId="1" fontId="12" fillId="2" borderId="0" xfId="0" applyNumberFormat="true" applyFont="true" applyFill="true" applyAlignment="true">
      <alignment vertical="center"/>
    </xf>
    <xf numFmtId="10" fontId="11" fillId="2" borderId="0" xfId="0" applyNumberFormat="true" applyFont="true" applyFill="true" applyAlignment="true">
      <alignment horizontal="center" vertical="center"/>
    </xf>
    <xf numFmtId="183" fontId="12" fillId="2" borderId="0" xfId="0" applyNumberFormat="true" applyFont="true" applyFill="true" applyAlignment="true">
      <alignment vertical="center"/>
    </xf>
    <xf numFmtId="191" fontId="11" fillId="2" borderId="0" xfId="0" applyNumberFormat="true" applyFont="true" applyFill="true" applyAlignment="true">
      <alignment vertical="center"/>
    </xf>
    <xf numFmtId="0" fontId="11" fillId="2" borderId="0" xfId="0" applyFont="true" applyFill="true" applyAlignment="true">
      <alignment horizontal="right"/>
    </xf>
    <xf numFmtId="10" fontId="11" fillId="2" borderId="0" xfId="14" applyNumberFormat="true" applyFont="true" applyFill="true" applyAlignment="true"/>
    <xf numFmtId="2" fontId="11" fillId="2" borderId="18" xfId="0" applyNumberFormat="true" applyFont="true" applyFill="true" applyBorder="true"/>
    <xf numFmtId="0" fontId="1" fillId="0" borderId="0" xfId="4"/>
    <xf numFmtId="0" fontId="1" fillId="0" borderId="18" xfId="0" applyFont="true" applyBorder="true" applyAlignment="true">
      <alignment horizontal="center"/>
    </xf>
    <xf numFmtId="0" fontId="1" fillId="0" borderId="7" xfId="0" applyFont="true" applyBorder="true"/>
    <xf numFmtId="189" fontId="1" fillId="0" borderId="14" xfId="0" applyNumberFormat="true" applyFont="true" applyBorder="true" applyAlignment="true">
      <alignment horizontal="center"/>
    </xf>
    <xf numFmtId="189" fontId="1" fillId="0" borderId="19" xfId="0" applyNumberFormat="true" applyFont="true" applyBorder="true" applyAlignment="true">
      <alignment horizontal="center"/>
    </xf>
    <xf numFmtId="189" fontId="1" fillId="0" borderId="8" xfId="0" applyNumberFormat="true" applyFont="true" applyBorder="true" applyAlignment="true">
      <alignment horizontal="center"/>
    </xf>
    <xf numFmtId="0" fontId="1" fillId="0" borderId="14" xfId="0" applyFont="true" applyBorder="true" applyAlignment="true">
      <alignment horizontal="center"/>
    </xf>
    <xf numFmtId="0" fontId="1" fillId="0" borderId="8" xfId="0" applyFont="true" applyBorder="true" applyAlignment="true">
      <alignment horizontal="center"/>
    </xf>
    <xf numFmtId="1" fontId="1" fillId="0" borderId="7" xfId="0" applyNumberFormat="true" applyFont="true" applyBorder="true"/>
    <xf numFmtId="187" fontId="1" fillId="0" borderId="7" xfId="0" applyNumberFormat="true" applyFont="true" applyBorder="true"/>
    <xf numFmtId="180" fontId="1" fillId="0" borderId="7" xfId="0" applyNumberFormat="true" applyFont="true" applyBorder="true"/>
    <xf numFmtId="0" fontId="1" fillId="0" borderId="19" xfId="0" applyFont="true" applyBorder="true" applyAlignment="true">
      <alignment horizontal="center"/>
    </xf>
    <xf numFmtId="2" fontId="1" fillId="0" borderId="0" xfId="0" applyNumberFormat="true" applyFont="true"/>
    <xf numFmtId="187" fontId="1" fillId="0" borderId="0" xfId="0" applyNumberFormat="true" applyFont="true"/>
    <xf numFmtId="180" fontId="1" fillId="0" borderId="0" xfId="0" applyNumberFormat="true" applyFont="true"/>
    <xf numFmtId="0" fontId="1" fillId="0" borderId="7" xfId="0" applyFont="true" applyBorder="true" applyAlignment="true">
      <alignment horizontal="center"/>
    </xf>
    <xf numFmtId="10" fontId="34" fillId="0" borderId="14" xfId="14" applyNumberFormat="true" applyFont="true" applyBorder="true" applyAlignment="true">
      <alignment horizontal="center"/>
    </xf>
    <xf numFmtId="10" fontId="34" fillId="0" borderId="19" xfId="14" applyNumberFormat="true" applyFont="true" applyBorder="true" applyAlignment="true">
      <alignment horizontal="center"/>
    </xf>
    <xf numFmtId="10" fontId="34" fillId="0" borderId="8" xfId="14" applyNumberFormat="true" applyFont="true" applyBorder="true" applyAlignment="true">
      <alignment horizontal="center"/>
    </xf>
    <xf numFmtId="10" fontId="35" fillId="0" borderId="14" xfId="14" applyNumberFormat="true" applyFont="true" applyBorder="true" applyAlignment="true">
      <alignment horizontal="center"/>
    </xf>
    <xf numFmtId="10" fontId="35" fillId="0" borderId="19" xfId="14" applyNumberFormat="true" applyFont="true" applyBorder="true" applyAlignment="true">
      <alignment horizontal="center"/>
    </xf>
    <xf numFmtId="10" fontId="35" fillId="0" borderId="8" xfId="14" applyNumberFormat="true" applyFont="true" applyBorder="true" applyAlignment="true">
      <alignment horizontal="center"/>
    </xf>
    <xf numFmtId="2" fontId="1" fillId="0" borderId="7" xfId="0" applyNumberFormat="true" applyFont="true" applyBorder="true"/>
    <xf numFmtId="0" fontId="1" fillId="0" borderId="27" xfId="0" applyFont="true" applyBorder="true" applyAlignment="true">
      <alignment horizontal="center" vertical="center" wrapText="true"/>
    </xf>
    <xf numFmtId="0" fontId="1" fillId="0" borderId="21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194" fontId="1" fillId="0" borderId="0" xfId="0" applyNumberFormat="true" applyFont="true"/>
    <xf numFmtId="189" fontId="1" fillId="0" borderId="14" xfId="0" applyNumberFormat="true" applyFont="true" applyBorder="true"/>
    <xf numFmtId="189" fontId="1" fillId="0" borderId="7" xfId="0" applyNumberFormat="true" applyFont="true" applyBorder="true"/>
    <xf numFmtId="10" fontId="1" fillId="0" borderId="7" xfId="0" applyNumberFormat="true" applyFont="true" applyBorder="true"/>
    <xf numFmtId="189" fontId="1" fillId="0" borderId="0" xfId="0" applyNumberFormat="true" applyFont="true"/>
    <xf numFmtId="0" fontId="1" fillId="0" borderId="7" xfId="0" applyFont="true" applyBorder="true" applyAlignment="true">
      <alignment horizontal="right"/>
    </xf>
    <xf numFmtId="9" fontId="1" fillId="0" borderId="0" xfId="0" applyNumberFormat="true" applyFont="true"/>
    <xf numFmtId="0" fontId="1" fillId="0" borderId="0" xfId="0" applyFont="true" applyAlignment="true">
      <alignment horizontal="right"/>
    </xf>
    <xf numFmtId="0" fontId="1" fillId="0" borderId="0" xfId="2" applyFont="true" applyAlignment="true">
      <alignment horizontal="center" vertical="center"/>
    </xf>
    <xf numFmtId="0" fontId="1" fillId="0" borderId="0" xfId="2" applyFont="true"/>
    <xf numFmtId="0" fontId="1" fillId="0" borderId="0" xfId="2" applyFont="true" applyAlignment="true">
      <alignment horizontal="left"/>
    </xf>
    <xf numFmtId="0" fontId="1" fillId="0" borderId="0" xfId="2" applyFont="true" applyAlignment="true">
      <alignment vertical="center"/>
    </xf>
    <xf numFmtId="0" fontId="1" fillId="0" borderId="27" xfId="2" applyFont="true" applyBorder="true" applyAlignment="true">
      <alignment horizontal="center" vertical="top"/>
    </xf>
    <xf numFmtId="0" fontId="1" fillId="0" borderId="26" xfId="2" applyFont="true" applyBorder="true" applyAlignment="true">
      <alignment horizontal="center" vertical="center"/>
    </xf>
    <xf numFmtId="0" fontId="1" fillId="0" borderId="25" xfId="2" applyFont="true" applyBorder="true" applyAlignment="true">
      <alignment horizontal="center" vertical="center"/>
    </xf>
    <xf numFmtId="0" fontId="1" fillId="0" borderId="6" xfId="2" applyFont="true" applyBorder="true" applyAlignment="true">
      <alignment horizontal="center"/>
    </xf>
    <xf numFmtId="0" fontId="1" fillId="0" borderId="24" xfId="2" applyFont="true" applyBorder="true" applyAlignment="true">
      <alignment horizontal="center" vertical="center"/>
    </xf>
    <xf numFmtId="0" fontId="1" fillId="0" borderId="5" xfId="2" applyFont="true" applyBorder="true" applyAlignment="true">
      <alignment horizontal="center" vertical="center"/>
    </xf>
    <xf numFmtId="0" fontId="1" fillId="0" borderId="7" xfId="2" applyFont="true" applyBorder="true" applyAlignment="true">
      <alignment horizontal="center" vertical="center"/>
    </xf>
    <xf numFmtId="0" fontId="1" fillId="0" borderId="14" xfId="2" applyFont="true" applyBorder="true" applyAlignment="true">
      <alignment horizontal="center" vertical="center"/>
    </xf>
    <xf numFmtId="0" fontId="1" fillId="0" borderId="8" xfId="2" applyFont="true" applyBorder="true" applyAlignment="true">
      <alignment horizontal="left" vertical="center"/>
    </xf>
    <xf numFmtId="1" fontId="1" fillId="2" borderId="7" xfId="2" applyNumberFormat="true" applyFont="true" applyFill="true" applyBorder="true" applyAlignment="true">
      <alignment horizontal="center" vertical="center"/>
    </xf>
    <xf numFmtId="1" fontId="1" fillId="2" borderId="14" xfId="2" applyNumberFormat="true" applyFont="true" applyFill="true" applyBorder="true" applyAlignment="true">
      <alignment horizontal="left" vertical="center"/>
    </xf>
    <xf numFmtId="1" fontId="1" fillId="2" borderId="8" xfId="2" applyNumberFormat="true" applyFont="true" applyFill="true" applyBorder="true" applyAlignment="true">
      <alignment horizontal="left" vertical="center"/>
    </xf>
    <xf numFmtId="0" fontId="7" fillId="0" borderId="7" xfId="2" applyBorder="true" applyAlignment="true">
      <alignment horizontal="center"/>
    </xf>
    <xf numFmtId="0" fontId="1" fillId="2" borderId="14" xfId="2" applyFont="true" applyFill="true" applyBorder="true"/>
    <xf numFmtId="0" fontId="1" fillId="2" borderId="8" xfId="2" applyFont="true" applyFill="true" applyBorder="true" applyAlignment="true">
      <alignment horizontal="left"/>
    </xf>
    <xf numFmtId="0" fontId="1" fillId="0" borderId="7" xfId="2" applyFont="true" applyBorder="true" applyAlignment="true">
      <alignment horizontal="center"/>
    </xf>
    <xf numFmtId="1" fontId="1" fillId="2" borderId="14" xfId="2" applyNumberFormat="true" applyFont="true" applyFill="true" applyBorder="true" applyAlignment="true">
      <alignment horizontal="center" vertical="center"/>
    </xf>
    <xf numFmtId="1" fontId="7" fillId="2" borderId="14" xfId="2" applyNumberFormat="true" applyFill="true" applyBorder="true" applyAlignment="true">
      <alignment vertical="center"/>
    </xf>
    <xf numFmtId="1" fontId="1" fillId="2" borderId="14" xfId="2" applyNumberFormat="true" applyFont="true" applyFill="true" applyBorder="true" applyAlignment="true">
      <alignment vertical="center"/>
    </xf>
    <xf numFmtId="1" fontId="1" fillId="2" borderId="19" xfId="2" applyNumberFormat="true" applyFont="true" applyFill="true" applyBorder="true" applyAlignment="true">
      <alignment horizontal="left" vertical="center"/>
    </xf>
    <xf numFmtId="1" fontId="36" fillId="2" borderId="14" xfId="2" applyNumberFormat="true" applyFont="true" applyFill="true" applyBorder="true" applyAlignment="true">
      <alignment vertical="center"/>
    </xf>
    <xf numFmtId="0" fontId="1" fillId="0" borderId="0" xfId="2" applyFont="true" applyAlignment="true">
      <alignment horizontal="center"/>
    </xf>
    <xf numFmtId="1" fontId="1" fillId="2" borderId="0" xfId="2" applyNumberFormat="true" applyFont="true" applyFill="true" applyAlignment="true">
      <alignment horizontal="center" vertical="center"/>
    </xf>
    <xf numFmtId="1" fontId="1" fillId="2" borderId="0" xfId="2" applyNumberFormat="true" applyFont="true" applyFill="true" applyAlignment="true">
      <alignment horizontal="left" vertical="center"/>
    </xf>
    <xf numFmtId="1" fontId="18" fillId="2" borderId="7" xfId="2" applyNumberFormat="true" applyFont="true" applyFill="true" applyBorder="true" applyAlignment="true">
      <alignment horizontal="center" vertical="center"/>
    </xf>
    <xf numFmtId="1" fontId="37" fillId="2" borderId="7" xfId="2" applyNumberFormat="true" applyFont="true" applyFill="true" applyBorder="true" applyAlignment="true">
      <alignment horizontal="right" vertical="center"/>
    </xf>
    <xf numFmtId="1" fontId="1" fillId="2" borderId="0" xfId="2" applyNumberFormat="true" applyFont="true" applyFill="true" applyAlignment="true">
      <alignment horizontal="right" vertical="center"/>
    </xf>
    <xf numFmtId="1" fontId="38" fillId="2" borderId="7" xfId="2" applyNumberFormat="true" applyFont="true" applyFill="true" applyBorder="true" applyAlignment="true">
      <alignment horizontal="center" vertical="center"/>
    </xf>
    <xf numFmtId="9" fontId="34" fillId="2" borderId="7" xfId="2" applyNumberFormat="true" applyFont="true" applyFill="true" applyBorder="true" applyAlignment="true">
      <alignment vertical="center"/>
    </xf>
    <xf numFmtId="1" fontId="38" fillId="2" borderId="27" xfId="2" applyNumberFormat="true" applyFont="true" applyFill="true" applyBorder="true" applyAlignment="true">
      <alignment horizontal="center" vertical="center"/>
    </xf>
    <xf numFmtId="2" fontId="39" fillId="0" borderId="27" xfId="2" applyNumberFormat="true" applyFont="true" applyBorder="true"/>
    <xf numFmtId="181" fontId="37" fillId="2" borderId="7" xfId="2" applyNumberFormat="true" applyFont="true" applyFill="true" applyBorder="true" applyAlignment="true">
      <alignment horizontal="right" vertical="center"/>
    </xf>
    <xf numFmtId="10" fontId="40" fillId="2" borderId="7" xfId="14" applyNumberFormat="true" applyFont="true" applyFill="true" applyBorder="true" applyAlignment="true">
      <alignment horizontal="center" vertical="center"/>
    </xf>
    <xf numFmtId="10" fontId="1" fillId="2" borderId="7" xfId="14" applyNumberFormat="true" applyFont="true" applyFill="true" applyBorder="true" applyAlignment="true">
      <alignment horizontal="center" vertical="center"/>
    </xf>
    <xf numFmtId="1" fontId="1" fillId="2" borderId="0" xfId="2" applyNumberFormat="true" applyFont="true" applyFill="true" applyAlignment="true">
      <alignment vertical="center"/>
    </xf>
    <xf numFmtId="0" fontId="1" fillId="2" borderId="0" xfId="2" applyFont="true" applyFill="true"/>
    <xf numFmtId="0" fontId="1" fillId="2" borderId="0" xfId="2" applyFont="true" applyFill="true" applyAlignment="true">
      <alignment horizontal="left"/>
    </xf>
    <xf numFmtId="187" fontId="1" fillId="2" borderId="0" xfId="2" applyNumberFormat="true" applyFont="true" applyFill="true"/>
    <xf numFmtId="0" fontId="38" fillId="2" borderId="0" xfId="2" applyFont="true" applyFill="true" applyAlignment="true">
      <alignment horizontal="right"/>
    </xf>
    <xf numFmtId="0" fontId="5" fillId="2" borderId="0" xfId="2" applyFont="true" applyFill="true" applyAlignment="true">
      <alignment horizontal="center"/>
    </xf>
    <xf numFmtId="9" fontId="34" fillId="2" borderId="0" xfId="2" applyNumberFormat="true" applyFont="true" applyFill="true" applyAlignment="true">
      <alignment horizontal="right"/>
    </xf>
    <xf numFmtId="0" fontId="41" fillId="0" borderId="0" xfId="2" applyFont="true" applyAlignment="true">
      <alignment vertical="center"/>
    </xf>
    <xf numFmtId="0" fontId="18" fillId="0" borderId="0" xfId="2" applyFont="true" applyAlignment="true">
      <alignment vertical="center"/>
    </xf>
    <xf numFmtId="0" fontId="1" fillId="0" borderId="19" xfId="2" applyFont="true" applyBorder="true" applyAlignment="true">
      <alignment horizontal="center" vertical="center"/>
    </xf>
    <xf numFmtId="0" fontId="1" fillId="0" borderId="7" xfId="2" applyFont="true" applyBorder="true" applyAlignment="true">
      <alignment horizontal="center" vertical="center" wrapText="true"/>
    </xf>
    <xf numFmtId="194" fontId="5" fillId="0" borderId="7" xfId="2" applyNumberFormat="true" applyFont="true" applyBorder="true"/>
    <xf numFmtId="194" fontId="42" fillId="0" borderId="7" xfId="2" applyNumberFormat="true" applyFont="true" applyBorder="true"/>
    <xf numFmtId="0" fontId="5" fillId="0" borderId="7" xfId="2" applyFont="true" applyBorder="true"/>
    <xf numFmtId="1" fontId="5" fillId="0" borderId="7" xfId="2" applyNumberFormat="true" applyFont="true" applyBorder="true"/>
    <xf numFmtId="2" fontId="5" fillId="0" borderId="7" xfId="2" applyNumberFormat="true" applyFont="true" applyBorder="true"/>
    <xf numFmtId="2" fontId="5" fillId="0" borderId="0" xfId="2" applyNumberFormat="true" applyFont="true"/>
    <xf numFmtId="2" fontId="18" fillId="0" borderId="7" xfId="2" applyNumberFormat="true" applyFont="true" applyBorder="true"/>
    <xf numFmtId="1" fontId="5" fillId="0" borderId="0" xfId="2" applyNumberFormat="true" applyFont="true"/>
    <xf numFmtId="10" fontId="5" fillId="0" borderId="0" xfId="14" applyNumberFormat="true" applyFont="true" applyBorder="true" applyAlignment="true"/>
    <xf numFmtId="9" fontId="38" fillId="2" borderId="27" xfId="2" applyNumberFormat="true" applyFont="true" applyFill="true" applyBorder="true" applyAlignment="true">
      <alignment vertical="center"/>
    </xf>
    <xf numFmtId="1" fontId="6" fillId="0" borderId="7" xfId="2" applyNumberFormat="true" applyFont="true" applyBorder="true" applyAlignment="true">
      <alignment horizontal="center"/>
    </xf>
    <xf numFmtId="0" fontId="5" fillId="0" borderId="0" xfId="2" applyFont="true"/>
    <xf numFmtId="0" fontId="1" fillId="0" borderId="0" xfId="2" applyFont="true" applyAlignment="true">
      <alignment horizontal="right"/>
    </xf>
    <xf numFmtId="2" fontId="1" fillId="0" borderId="0" xfId="2" applyNumberFormat="true" applyFont="true"/>
    <xf numFmtId="10" fontId="1" fillId="0" borderId="0" xfId="14" applyNumberFormat="true" applyFont="true" applyAlignment="true"/>
    <xf numFmtId="0" fontId="5" fillId="0" borderId="0" xfId="2" applyFont="true" applyAlignment="true">
      <alignment horizontal="center"/>
    </xf>
    <xf numFmtId="9" fontId="1" fillId="0" borderId="0" xfId="2" applyNumberFormat="true" applyFont="true"/>
    <xf numFmtId="0" fontId="1" fillId="0" borderId="8" xfId="2" applyFont="true" applyBorder="true" applyAlignment="true">
      <alignment horizontal="center" vertical="center"/>
    </xf>
    <xf numFmtId="0" fontId="1" fillId="0" borderId="7" xfId="2" applyFont="true" applyBorder="true"/>
    <xf numFmtId="0" fontId="20" fillId="0" borderId="7" xfId="2" applyFont="true" applyBorder="true" applyAlignment="true">
      <alignment horizontal="center"/>
    </xf>
    <xf numFmtId="0" fontId="2" fillId="0" borderId="7" xfId="2" applyFont="true" applyBorder="true"/>
    <xf numFmtId="1" fontId="42" fillId="0" borderId="7" xfId="2" applyNumberFormat="true" applyFont="true" applyBorder="true"/>
    <xf numFmtId="2" fontId="42" fillId="0" borderId="7" xfId="2" applyNumberFormat="true" applyFont="true" applyBorder="true"/>
    <xf numFmtId="2" fontId="42" fillId="0" borderId="0" xfId="2" applyNumberFormat="true" applyFont="true"/>
    <xf numFmtId="0" fontId="2" fillId="0" borderId="0" xfId="2" applyFont="true"/>
    <xf numFmtId="1" fontId="32" fillId="0" borderId="7" xfId="2" applyNumberFormat="true" applyFont="true" applyBorder="true" applyAlignment="true">
      <alignment horizontal="center"/>
    </xf>
    <xf numFmtId="1" fontId="3" fillId="0" borderId="7" xfId="2" applyNumberFormat="true" applyFont="true" applyBorder="true" applyAlignment="true">
      <alignment horizontal="center"/>
    </xf>
    <xf numFmtId="1" fontId="42" fillId="0" borderId="0" xfId="2" applyNumberFormat="true" applyFont="true"/>
    <xf numFmtId="188" fontId="1" fillId="0" borderId="0" xfId="2" applyNumberFormat="true" applyFont="true"/>
    <xf numFmtId="196" fontId="1" fillId="0" borderId="0" xfId="2" applyNumberFormat="true" applyFont="true"/>
    <xf numFmtId="0" fontId="1" fillId="0" borderId="27" xfId="2" applyFont="true" applyBorder="true"/>
    <xf numFmtId="0" fontId="1" fillId="0" borderId="6" xfId="2" applyFont="true" applyBorder="true" applyAlignment="true">
      <alignment horizontal="center" vertical="top"/>
    </xf>
    <xf numFmtId="177" fontId="1" fillId="0" borderId="7" xfId="2" applyNumberFormat="true" applyFont="true" applyBorder="true"/>
    <xf numFmtId="194" fontId="1" fillId="0" borderId="0" xfId="2" applyNumberFormat="true" applyFont="true"/>
    <xf numFmtId="1" fontId="1" fillId="0" borderId="7" xfId="2" applyNumberFormat="true" applyFont="true" applyBorder="true"/>
    <xf numFmtId="2" fontId="7" fillId="0" borderId="0" xfId="2" applyNumberFormat="true"/>
    <xf numFmtId="182" fontId="1" fillId="0" borderId="0" xfId="14" applyNumberFormat="true" applyFont="true" applyAlignment="true"/>
    <xf numFmtId="187" fontId="1" fillId="0" borderId="0" xfId="2" applyNumberFormat="true" applyFont="true"/>
    <xf numFmtId="0" fontId="43" fillId="0" borderId="7" xfId="0" applyFont="true" applyBorder="true" applyAlignment="true">
      <alignment horizontal="center" vertical="center" wrapText="true"/>
    </xf>
    <xf numFmtId="0" fontId="44" fillId="0" borderId="7" xfId="0" applyFont="true" applyBorder="true" applyAlignment="true">
      <alignment horizontal="center" vertical="center" wrapText="true"/>
    </xf>
    <xf numFmtId="0" fontId="45" fillId="0" borderId="7" xfId="0" applyFont="true" applyBorder="true" applyAlignment="true">
      <alignment horizontal="center" vertical="center" wrapText="true"/>
    </xf>
    <xf numFmtId="193" fontId="45" fillId="0" borderId="7" xfId="0" applyNumberFormat="true" applyFont="true" applyBorder="true" applyAlignment="true">
      <alignment horizontal="center" vertical="center" wrapText="true"/>
    </xf>
    <xf numFmtId="0" fontId="46" fillId="5" borderId="7" xfId="0" applyFont="true" applyFill="true" applyBorder="true" applyAlignment="true">
      <alignment horizontal="center" vertical="center" wrapText="true"/>
    </xf>
    <xf numFmtId="0" fontId="45" fillId="5" borderId="14" xfId="0" applyFont="true" applyFill="true" applyBorder="true" applyAlignment="true">
      <alignment horizontal="left" vertical="center" wrapText="true"/>
    </xf>
    <xf numFmtId="0" fontId="47" fillId="0" borderId="7" xfId="0" applyFont="true" applyBorder="true" applyAlignment="true">
      <alignment horizontal="center" vertical="center" wrapText="true"/>
    </xf>
    <xf numFmtId="0" fontId="48" fillId="0" borderId="7" xfId="0" applyFont="true" applyBorder="true" applyAlignment="true">
      <alignment vertical="top" wrapText="true"/>
    </xf>
    <xf numFmtId="193" fontId="47" fillId="0" borderId="7" xfId="0" applyNumberFormat="true" applyFont="true" applyBorder="true" applyAlignment="true">
      <alignment horizontal="center" vertical="center" wrapText="true"/>
    </xf>
    <xf numFmtId="0" fontId="46" fillId="6" borderId="7" xfId="0" applyFont="true" applyFill="true" applyBorder="true" applyAlignment="true">
      <alignment horizontal="center" vertical="center" wrapText="true"/>
    </xf>
    <xf numFmtId="0" fontId="46" fillId="6" borderId="7" xfId="0" applyFont="true" applyFill="true" applyBorder="true" applyAlignment="true">
      <alignment horizontal="left" vertical="center" wrapText="true"/>
    </xf>
    <xf numFmtId="193" fontId="44" fillId="0" borderId="7" xfId="0" applyNumberFormat="true" applyFont="true" applyBorder="true" applyAlignment="true">
      <alignment horizontal="center" vertical="center" wrapText="true"/>
    </xf>
    <xf numFmtId="0" fontId="49" fillId="0" borderId="7" xfId="0" applyFont="true" applyBorder="true" applyAlignment="true">
      <alignment vertical="top" wrapText="true"/>
    </xf>
    <xf numFmtId="0" fontId="50" fillId="0" borderId="7" xfId="0" applyFont="true" applyBorder="true" applyAlignment="true">
      <alignment vertical="top" wrapText="true"/>
    </xf>
    <xf numFmtId="0" fontId="0" fillId="4" borderId="0" xfId="0" applyFill="true"/>
    <xf numFmtId="0" fontId="0" fillId="0" borderId="0" xfId="0" applyAlignment="true">
      <alignment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2" fontId="5" fillId="2" borderId="0" xfId="0" applyNumberFormat="true" applyFont="true" applyFill="true" applyAlignment="true">
      <alignment horizontal="center" vertical="center"/>
    </xf>
    <xf numFmtId="2" fontId="51" fillId="2" borderId="0" xfId="0" applyNumberFormat="true" applyFont="true" applyFill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7" borderId="0" xfId="0" applyFont="true" applyFill="true" applyAlignment="true">
      <alignment horizontal="center" vertical="center"/>
    </xf>
    <xf numFmtId="0" fontId="19" fillId="0" borderId="0" xfId="0" applyFont="true" applyAlignment="true">
      <alignment horizontal="center" vertical="center"/>
    </xf>
    <xf numFmtId="187" fontId="1" fillId="0" borderId="0" xfId="0" applyNumberFormat="true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10" fontId="1" fillId="0" borderId="0" xfId="0" applyNumberFormat="true" applyFont="true" applyAlignment="true">
      <alignment horizontal="center" vertical="center"/>
    </xf>
    <xf numFmtId="0" fontId="52" fillId="0" borderId="0" xfId="0" applyFont="true" applyAlignment="true">
      <alignment horizontal="center" vertical="center"/>
    </xf>
    <xf numFmtId="0" fontId="5" fillId="0" borderId="18" xfId="0" applyFont="true" applyBorder="true" applyAlignment="true">
      <alignment horizontal="center" vertical="center"/>
    </xf>
    <xf numFmtId="177" fontId="5" fillId="0" borderId="7" xfId="0" applyNumberFormat="true" applyFont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 wrapText="true"/>
    </xf>
    <xf numFmtId="0" fontId="6" fillId="0" borderId="7" xfId="0" applyFont="true" applyBorder="true" applyAlignment="true">
      <alignment horizontal="center" vertical="center" shrinkToFit="true"/>
    </xf>
    <xf numFmtId="189" fontId="53" fillId="7" borderId="7" xfId="0" applyNumberFormat="true" applyFont="true" applyFill="true" applyBorder="true" applyAlignment="true">
      <alignment horizontal="center" vertical="center" shrinkToFit="true"/>
    </xf>
    <xf numFmtId="189" fontId="6" fillId="7" borderId="7" xfId="0" applyNumberFormat="true" applyFont="true" applyFill="true" applyBorder="true" applyAlignment="true">
      <alignment horizontal="center" vertical="center" shrinkToFit="true"/>
    </xf>
    <xf numFmtId="177" fontId="6" fillId="2" borderId="7" xfId="0" applyNumberFormat="true" applyFont="true" applyFill="true" applyBorder="true" applyAlignment="true">
      <alignment horizontal="center" vertical="center"/>
    </xf>
    <xf numFmtId="0" fontId="51" fillId="0" borderId="7" xfId="1" applyFont="true" applyBorder="true" applyAlignment="true">
      <alignment horizontal="center" vertical="center"/>
    </xf>
    <xf numFmtId="2" fontId="51" fillId="0" borderId="7" xfId="1" applyNumberFormat="true" applyFont="true" applyBorder="true" applyAlignment="true">
      <alignment horizontal="center" vertical="center"/>
    </xf>
    <xf numFmtId="177" fontId="5" fillId="2" borderId="7" xfId="0" applyNumberFormat="true" applyFont="true" applyFill="true" applyBorder="true" applyAlignment="true">
      <alignment horizontal="center" vertical="center"/>
    </xf>
    <xf numFmtId="0" fontId="54" fillId="0" borderId="7" xfId="1" applyFont="true" applyBorder="true" applyAlignment="true">
      <alignment horizontal="center" vertical="center"/>
    </xf>
    <xf numFmtId="2" fontId="54" fillId="0" borderId="7" xfId="0" applyNumberFormat="true" applyFont="true" applyBorder="true" applyAlignment="true">
      <alignment horizontal="center" vertical="center"/>
    </xf>
    <xf numFmtId="0" fontId="5" fillId="8" borderId="7" xfId="5" applyFont="true" applyFill="true" applyBorder="true" applyAlignment="true">
      <alignment horizontal="center" vertical="center" wrapText="true"/>
    </xf>
    <xf numFmtId="2" fontId="51" fillId="2" borderId="7" xfId="0" applyNumberFormat="true" applyFont="true" applyFill="true" applyBorder="true" applyAlignment="true">
      <alignment horizontal="center" vertical="center"/>
    </xf>
    <xf numFmtId="2" fontId="51" fillId="0" borderId="7" xfId="0" applyNumberFormat="true" applyFont="true" applyBorder="true" applyAlignment="true">
      <alignment horizontal="center" vertical="center"/>
    </xf>
    <xf numFmtId="187" fontId="5" fillId="0" borderId="0" xfId="0" applyNumberFormat="true" applyFont="true" applyAlignment="true">
      <alignment horizontal="center" vertical="center"/>
    </xf>
    <xf numFmtId="10" fontId="5" fillId="0" borderId="0" xfId="0" applyNumberFormat="true" applyFont="true" applyAlignment="true">
      <alignment horizontal="center" vertical="center"/>
    </xf>
    <xf numFmtId="187" fontId="5" fillId="0" borderId="7" xfId="0" applyNumberFormat="true" applyFont="true" applyBorder="true" applyAlignment="true">
      <alignment horizontal="center" vertical="center" wrapText="true"/>
    </xf>
    <xf numFmtId="10" fontId="5" fillId="0" borderId="7" xfId="0" applyNumberFormat="true" applyFont="true" applyBorder="true" applyAlignment="true">
      <alignment horizontal="center" vertical="center" wrapText="true"/>
    </xf>
    <xf numFmtId="187" fontId="6" fillId="7" borderId="7" xfId="0" applyNumberFormat="true" applyFont="true" applyFill="true" applyBorder="true" applyAlignment="true">
      <alignment horizontal="center" vertical="center" shrinkToFit="true"/>
    </xf>
    <xf numFmtId="10" fontId="6" fillId="7" borderId="7" xfId="0" applyNumberFormat="true" applyFont="true" applyFill="true" applyBorder="true" applyAlignment="true">
      <alignment horizontal="center" vertical="center" shrinkToFit="true"/>
    </xf>
    <xf numFmtId="2" fontId="54" fillId="0" borderId="7" xfId="0" applyNumberFormat="true" applyFont="true" applyBorder="true" applyAlignment="true">
      <alignment horizontal="center" vertical="center" shrinkToFit="true"/>
    </xf>
    <xf numFmtId="0" fontId="5" fillId="0" borderId="7" xfId="0" applyFont="true" applyBorder="true" applyAlignment="true">
      <alignment horizontal="center" vertical="center" shrinkToFit="true"/>
    </xf>
    <xf numFmtId="1" fontId="54" fillId="0" borderId="7" xfId="0" applyNumberFormat="true" applyFont="true" applyBorder="true" applyAlignment="true">
      <alignment horizontal="center" vertical="center"/>
    </xf>
    <xf numFmtId="187" fontId="5" fillId="7" borderId="7" xfId="0" applyNumberFormat="true" applyFont="true" applyFill="true" applyBorder="true" applyAlignment="true">
      <alignment horizontal="center" vertical="center" shrinkToFit="true"/>
    </xf>
    <xf numFmtId="10" fontId="5" fillId="7" borderId="7" xfId="0" applyNumberFormat="true" applyFont="true" applyFill="true" applyBorder="true" applyAlignment="true">
      <alignment horizontal="center" vertical="center" shrinkToFit="true"/>
    </xf>
    <xf numFmtId="2" fontId="5" fillId="2" borderId="7" xfId="0" applyNumberFormat="true" applyFont="true" applyFill="true" applyBorder="true" applyAlignment="true">
      <alignment horizontal="center" vertical="center"/>
    </xf>
    <xf numFmtId="2" fontId="5" fillId="0" borderId="7" xfId="0" applyNumberFormat="true" applyFont="true" applyBorder="true" applyAlignment="true">
      <alignment horizontal="center" vertical="center" shrinkToFit="true"/>
    </xf>
    <xf numFmtId="2" fontId="6" fillId="2" borderId="0" xfId="0" applyNumberFormat="true" applyFont="true" applyFill="true" applyAlignment="true">
      <alignment vertical="center"/>
    </xf>
    <xf numFmtId="2" fontId="5" fillId="2" borderId="7" xfId="0" applyNumberFormat="true" applyFont="true" applyFill="true" applyBorder="true" applyAlignment="true">
      <alignment horizontal="center" vertical="center" shrinkToFit="true"/>
    </xf>
    <xf numFmtId="1" fontId="54" fillId="2" borderId="0" xfId="0" applyNumberFormat="true" applyFont="true" applyFill="true" applyAlignment="true">
      <alignment horizontal="center" vertical="center"/>
    </xf>
    <xf numFmtId="2" fontId="54" fillId="2" borderId="0" xfId="0" applyNumberFormat="true" applyFont="true" applyFill="true" applyAlignment="true">
      <alignment horizontal="center" vertical="center"/>
    </xf>
    <xf numFmtId="1" fontId="5" fillId="2" borderId="0" xfId="0" applyNumberFormat="true" applyFont="true" applyFill="true" applyAlignment="true">
      <alignment horizontal="center" vertical="center"/>
    </xf>
    <xf numFmtId="2" fontId="54" fillId="0" borderId="7" xfId="1" applyNumberFormat="true" applyFont="true" applyBorder="true" applyAlignment="true">
      <alignment horizontal="center" vertical="center"/>
    </xf>
    <xf numFmtId="2" fontId="5" fillId="2" borderId="7" xfId="0" applyNumberFormat="true" applyFont="true" applyFill="true" applyBorder="true" applyAlignment="true">
      <alignment horizontal="center" vertical="center" wrapText="true" shrinkToFit="true"/>
    </xf>
    <xf numFmtId="0" fontId="6" fillId="8" borderId="7" xfId="5" applyFont="true" applyFill="true" applyBorder="true" applyAlignment="true">
      <alignment horizontal="center" vertical="center" wrapText="true"/>
    </xf>
    <xf numFmtId="179" fontId="5" fillId="2" borderId="7" xfId="0" applyNumberFormat="true" applyFont="true" applyFill="true" applyBorder="true" applyAlignment="true">
      <alignment horizontal="center" vertical="center"/>
    </xf>
    <xf numFmtId="1" fontId="5" fillId="0" borderId="7" xfId="0" applyNumberFormat="true" applyFont="true" applyBorder="true" applyAlignment="true">
      <alignment horizontal="center" vertical="center"/>
    </xf>
    <xf numFmtId="0" fontId="54" fillId="0" borderId="7" xfId="1" applyFont="true" applyBorder="true" applyAlignment="true">
      <alignment horizontal="center" vertical="center" shrinkToFit="true"/>
    </xf>
    <xf numFmtId="189" fontId="5" fillId="2" borderId="7" xfId="0" applyNumberFormat="true" applyFont="true" applyFill="true" applyBorder="true" applyAlignment="true">
      <alignment horizontal="center" vertical="center"/>
    </xf>
    <xf numFmtId="189" fontId="6" fillId="0" borderId="7" xfId="0" applyNumberFormat="true" applyFont="true" applyBorder="true" applyAlignment="true">
      <alignment horizontal="center" vertical="center" shrinkToFit="true"/>
    </xf>
    <xf numFmtId="0" fontId="6" fillId="0" borderId="7" xfId="0" applyFont="true" applyBorder="true" applyAlignment="true">
      <alignment horizontal="center" vertical="center"/>
    </xf>
    <xf numFmtId="192" fontId="5" fillId="0" borderId="7" xfId="0" applyNumberFormat="true" applyFont="true" applyBorder="true" applyAlignment="true">
      <alignment horizontal="center" vertical="center"/>
    </xf>
    <xf numFmtId="49" fontId="5" fillId="7" borderId="7" xfId="0" applyNumberFormat="true" applyFont="true" applyFill="true" applyBorder="true" applyAlignment="true">
      <alignment horizontal="center" vertical="center" shrinkToFit="true"/>
    </xf>
    <xf numFmtId="192" fontId="5" fillId="0" borderId="7" xfId="0" applyNumberFormat="true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2" fontId="5" fillId="0" borderId="7" xfId="0" applyNumberFormat="true" applyFont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 wrapText="true"/>
    </xf>
    <xf numFmtId="187" fontId="5" fillId="0" borderId="7" xfId="43" applyNumberFormat="true" applyFont="true" applyBorder="true" applyAlignment="true">
      <alignment horizontal="center" vertical="center"/>
    </xf>
    <xf numFmtId="1" fontId="51" fillId="0" borderId="7" xfId="0" applyNumberFormat="true" applyFont="true" applyBorder="true" applyAlignment="true">
      <alignment horizontal="center" vertical="center"/>
    </xf>
    <xf numFmtId="10" fontId="54" fillId="0" borderId="7" xfId="0" applyNumberFormat="true" applyFont="true" applyBorder="true" applyAlignment="true">
      <alignment horizontal="center" vertical="center" shrinkToFit="true"/>
    </xf>
    <xf numFmtId="10" fontId="6" fillId="0" borderId="7" xfId="0" applyNumberFormat="true" applyFont="true" applyBorder="true" applyAlignment="true">
      <alignment horizontal="center" vertical="center" shrinkToFit="true"/>
    </xf>
    <xf numFmtId="1" fontId="5" fillId="0" borderId="7" xfId="0" applyNumberFormat="true" applyFont="true" applyBorder="true" applyAlignment="true">
      <alignment horizontal="center" vertical="center" shrinkToFit="true"/>
    </xf>
    <xf numFmtId="10" fontId="5" fillId="0" borderId="7" xfId="0" applyNumberFormat="true" applyFont="true" applyBorder="true" applyAlignment="true">
      <alignment horizontal="center" vertical="center" shrinkToFit="true"/>
    </xf>
    <xf numFmtId="1" fontId="54" fillId="2" borderId="7" xfId="0" applyNumberFormat="true" applyFont="true" applyFill="true" applyBorder="true" applyAlignment="true">
      <alignment horizontal="center" vertical="center"/>
    </xf>
    <xf numFmtId="187" fontId="5" fillId="0" borderId="7" xfId="0" applyNumberFormat="true" applyFont="true" applyBorder="true" applyAlignment="true">
      <alignment horizontal="center" vertical="center"/>
    </xf>
    <xf numFmtId="2" fontId="6" fillId="2" borderId="7" xfId="0" applyNumberFormat="true" applyFont="true" applyFill="true" applyBorder="true" applyAlignment="true">
      <alignment horizontal="center" vertical="center" shrinkToFit="true"/>
    </xf>
    <xf numFmtId="1" fontId="51" fillId="2" borderId="0" xfId="0" applyNumberFormat="true" applyFont="true" applyFill="true" applyAlignment="true">
      <alignment horizontal="center" vertical="center"/>
    </xf>
    <xf numFmtId="1" fontId="54" fillId="0" borderId="7" xfId="0" applyNumberFormat="true" applyFont="true" applyBorder="true" applyAlignment="true">
      <alignment horizontal="center" vertical="center" shrinkToFit="true"/>
    </xf>
    <xf numFmtId="2" fontId="51" fillId="2" borderId="7" xfId="0" applyNumberFormat="true" applyFont="true" applyFill="true" applyBorder="true" applyAlignment="true">
      <alignment horizontal="center" vertical="center" shrinkToFit="true"/>
    </xf>
    <xf numFmtId="2" fontId="54" fillId="2" borderId="7" xfId="0" applyNumberFormat="true" applyFont="true" applyFill="true" applyBorder="true" applyAlignment="true">
      <alignment horizontal="center" vertical="center" shrinkToFit="true"/>
    </xf>
    <xf numFmtId="10" fontId="1" fillId="0" borderId="0" xfId="14" applyNumberFormat="true" applyFont="true" applyAlignment="true">
      <alignment horizontal="center" vertical="center"/>
    </xf>
    <xf numFmtId="2" fontId="54" fillId="2" borderId="7" xfId="0" applyNumberFormat="true" applyFont="true" applyFill="true" applyBorder="true" applyAlignment="true">
      <alignment horizontal="center" vertical="center"/>
    </xf>
    <xf numFmtId="9" fontId="5" fillId="2" borderId="0" xfId="14" applyFont="true" applyFill="true" applyAlignment="true">
      <alignment horizontal="center" vertical="center"/>
    </xf>
    <xf numFmtId="189" fontId="5" fillId="0" borderId="0" xfId="0" applyNumberFormat="true" applyFont="true" applyAlignment="true">
      <alignment horizontal="center" vertical="center"/>
    </xf>
    <xf numFmtId="0" fontId="5" fillId="0" borderId="0" xfId="0" applyFont="true" applyAlignment="true">
      <alignment vertical="center"/>
    </xf>
    <xf numFmtId="10" fontId="5" fillId="0" borderId="0" xfId="14" applyNumberFormat="true" applyFont="true" applyFill="true" applyAlignment="true">
      <alignment horizontal="center" vertical="center"/>
    </xf>
    <xf numFmtId="0" fontId="1" fillId="9" borderId="0" xfId="0" applyFont="true" applyFill="true" applyAlignment="true">
      <alignment horizontal="center" vertical="center"/>
    </xf>
    <xf numFmtId="187" fontId="1" fillId="9" borderId="0" xfId="0" applyNumberFormat="true" applyFont="true" applyFill="true" applyAlignment="true">
      <alignment horizontal="center" vertical="center"/>
    </xf>
    <xf numFmtId="2" fontId="5" fillId="9" borderId="0" xfId="0" applyNumberFormat="true" applyFont="true" applyFill="true" applyAlignment="true">
      <alignment horizontal="center" vertical="center"/>
    </xf>
    <xf numFmtId="177" fontId="5" fillId="7" borderId="7" xfId="0" applyNumberFormat="true" applyFont="true" applyFill="true" applyBorder="true" applyAlignment="true">
      <alignment horizontal="center" vertical="center"/>
    </xf>
    <xf numFmtId="0" fontId="5" fillId="7" borderId="7" xfId="0" applyFont="true" applyFill="true" applyBorder="true" applyAlignment="true">
      <alignment horizontal="center" vertical="center"/>
    </xf>
    <xf numFmtId="2" fontId="54" fillId="7" borderId="7" xfId="0" applyNumberFormat="true" applyFont="true" applyFill="true" applyBorder="true" applyAlignment="true">
      <alignment horizontal="center" vertical="center" shrinkToFit="true"/>
    </xf>
    <xf numFmtId="2" fontId="54" fillId="7" borderId="7" xfId="0" applyNumberFormat="true" applyFont="true" applyFill="true" applyBorder="true" applyAlignment="true">
      <alignment horizontal="center" vertical="center"/>
    </xf>
    <xf numFmtId="189" fontId="5" fillId="0" borderId="7" xfId="43" applyNumberFormat="true" applyFont="true" applyBorder="true" applyAlignment="true">
      <alignment horizontal="center" vertical="center"/>
    </xf>
    <xf numFmtId="189" fontId="5" fillId="0" borderId="7" xfId="0" applyNumberFormat="true" applyFont="true" applyBorder="true" applyAlignment="true">
      <alignment horizontal="center" vertical="center"/>
    </xf>
    <xf numFmtId="189" fontId="5" fillId="7" borderId="7" xfId="43" applyNumberFormat="true" applyFont="true" applyFill="true" applyBorder="true" applyAlignment="true">
      <alignment horizontal="center" vertical="center"/>
    </xf>
    <xf numFmtId="189" fontId="19" fillId="0" borderId="0" xfId="0" applyNumberFormat="true" applyFont="true" applyAlignment="true">
      <alignment horizontal="center" vertical="center"/>
    </xf>
    <xf numFmtId="189" fontId="8" fillId="0" borderId="0" xfId="0" applyNumberFormat="true" applyFont="true" applyAlignment="true">
      <alignment horizontal="center" vertical="center" shrinkToFit="true"/>
    </xf>
    <xf numFmtId="0" fontId="8" fillId="0" borderId="0" xfId="0" applyFont="true" applyAlignment="true">
      <alignment horizontal="center" vertical="center" shrinkToFit="true"/>
    </xf>
    <xf numFmtId="194" fontId="55" fillId="0" borderId="0" xfId="0" applyNumberFormat="true" applyFont="true" applyAlignment="true">
      <alignment horizontal="center" vertical="center" shrinkToFit="true"/>
    </xf>
    <xf numFmtId="2" fontId="5" fillId="10" borderId="0" xfId="0" applyNumberFormat="true" applyFont="true" applyFill="true" applyAlignment="true">
      <alignment horizontal="center" vertical="center"/>
    </xf>
    <xf numFmtId="2" fontId="5" fillId="0" borderId="0" xfId="0" applyNumberFormat="true" applyFont="true" applyAlignment="true">
      <alignment horizontal="center" vertical="center"/>
    </xf>
    <xf numFmtId="2" fontId="6" fillId="7" borderId="7" xfId="0" applyNumberFormat="true" applyFont="true" applyFill="true" applyBorder="true" applyAlignment="true">
      <alignment horizontal="center" vertical="center" shrinkToFit="true"/>
    </xf>
    <xf numFmtId="10" fontId="5" fillId="0" borderId="7" xfId="43" applyNumberFormat="true" applyFont="true" applyBorder="true" applyAlignment="true">
      <alignment horizontal="center" vertical="center"/>
    </xf>
    <xf numFmtId="187" fontId="54" fillId="0" borderId="7" xfId="0" applyNumberFormat="true" applyFont="true" applyBorder="true" applyAlignment="true">
      <alignment horizontal="center" vertical="center" shrinkToFit="true"/>
    </xf>
    <xf numFmtId="187" fontId="8" fillId="0" borderId="0" xfId="0" applyNumberFormat="true" applyFont="true" applyAlignment="true">
      <alignment horizontal="center" vertical="center" shrinkToFit="true"/>
    </xf>
    <xf numFmtId="10" fontId="8" fillId="0" borderId="0" xfId="0" applyNumberFormat="true" applyFont="true" applyAlignment="true">
      <alignment horizontal="center" vertical="center" shrinkToFit="true"/>
    </xf>
    <xf numFmtId="187" fontId="5" fillId="10" borderId="0" xfId="0" applyNumberFormat="true" applyFont="true" applyFill="true" applyAlignment="true">
      <alignment horizontal="center" vertical="center"/>
    </xf>
    <xf numFmtId="10" fontId="5" fillId="10" borderId="0" xfId="0" applyNumberFormat="true" applyFont="true" applyFill="true" applyAlignment="true">
      <alignment horizontal="center" vertical="center"/>
    </xf>
    <xf numFmtId="10" fontId="56" fillId="0" borderId="0" xfId="14" applyNumberFormat="true" applyFont="true" applyAlignment="true">
      <alignment horizontal="center" vertical="center"/>
    </xf>
    <xf numFmtId="2" fontId="54" fillId="7" borderId="7" xfId="0" applyNumberFormat="true" applyFont="true" applyFill="true" applyBorder="true" applyAlignment="true">
      <alignment horizontal="center" vertical="center" wrapText="true"/>
    </xf>
    <xf numFmtId="189" fontId="5" fillId="7" borderId="0" xfId="0" applyNumberFormat="true" applyFont="true" applyFill="true" applyAlignment="true">
      <alignment horizontal="center" vertical="center"/>
    </xf>
    <xf numFmtId="2" fontId="54" fillId="0" borderId="7" xfId="0" applyNumberFormat="true" applyFont="true" applyBorder="true" applyAlignment="true">
      <alignment horizontal="center" vertical="center" wrapText="true"/>
    </xf>
    <xf numFmtId="9" fontId="5" fillId="4" borderId="0" xfId="14" applyFont="true" applyFill="true" applyAlignment="true">
      <alignment horizontal="center" vertical="center"/>
    </xf>
    <xf numFmtId="1" fontId="1" fillId="4" borderId="0" xfId="0" applyNumberFormat="true" applyFont="true" applyFill="true" applyAlignment="true">
      <alignment horizontal="center" vertical="center"/>
    </xf>
    <xf numFmtId="2" fontId="1" fillId="0" borderId="0" xfId="0" applyNumberFormat="true" applyFont="true" applyAlignment="true">
      <alignment horizontal="center" vertical="center"/>
    </xf>
    <xf numFmtId="9" fontId="1" fillId="0" borderId="0" xfId="14" applyFont="true" applyAlignment="true">
      <alignment horizontal="center" vertical="center"/>
    </xf>
    <xf numFmtId="189" fontId="1" fillId="0" borderId="0" xfId="0" applyNumberFormat="true" applyFont="true" applyAlignment="true">
      <alignment horizontal="center" vertical="center"/>
    </xf>
    <xf numFmtId="0" fontId="57" fillId="0" borderId="0" xfId="0" applyFont="true" applyAlignment="true">
      <alignment horizontal="center" vertical="center"/>
    </xf>
    <xf numFmtId="0" fontId="58" fillId="0" borderId="40" xfId="0" applyFont="true" applyBorder="true" applyAlignment="true">
      <alignment horizontal="center" vertical="center" wrapText="true"/>
    </xf>
    <xf numFmtId="0" fontId="58" fillId="0" borderId="41" xfId="0" applyFont="true" applyBorder="true" applyAlignment="true">
      <alignment horizontal="center" vertical="center" wrapText="true"/>
    </xf>
    <xf numFmtId="0" fontId="59" fillId="0" borderId="41" xfId="0" applyFont="true" applyBorder="true" applyAlignment="true">
      <alignment horizontal="center" vertical="center" wrapText="true"/>
    </xf>
    <xf numFmtId="9" fontId="1" fillId="0" borderId="0" xfId="0" applyNumberFormat="true" applyFont="true" applyAlignment="true">
      <alignment horizontal="center" vertical="center"/>
    </xf>
    <xf numFmtId="0" fontId="58" fillId="0" borderId="42" xfId="0" applyFont="true" applyBorder="true" applyAlignment="true">
      <alignment horizontal="center" vertical="center" wrapText="true"/>
    </xf>
    <xf numFmtId="0" fontId="58" fillId="0" borderId="31" xfId="0" applyFont="true" applyBorder="true" applyAlignment="true">
      <alignment horizontal="center" vertical="center" wrapText="true"/>
    </xf>
    <xf numFmtId="0" fontId="59" fillId="0" borderId="31" xfId="0" applyFont="true" applyBorder="true" applyAlignment="true">
      <alignment horizontal="center" vertical="center" wrapText="true"/>
    </xf>
    <xf numFmtId="2" fontId="59" fillId="0" borderId="31" xfId="0" applyNumberFormat="true" applyFont="true" applyBorder="true" applyAlignment="true">
      <alignment horizontal="center" vertical="center" wrapText="true"/>
    </xf>
    <xf numFmtId="10" fontId="59" fillId="0" borderId="31" xfId="0" applyNumberFormat="true" applyFont="true" applyBorder="true" applyAlignment="true">
      <alignment horizontal="center" vertical="center" wrapText="true"/>
    </xf>
    <xf numFmtId="0" fontId="56" fillId="0" borderId="0" xfId="0" applyFont="true" applyAlignment="true">
      <alignment horizontal="center" vertical="center"/>
    </xf>
    <xf numFmtId="189" fontId="56" fillId="0" borderId="0" xfId="0" applyNumberFormat="true" applyFont="true" applyAlignment="true">
      <alignment horizontal="center" vertical="center"/>
    </xf>
    <xf numFmtId="2" fontId="56" fillId="10" borderId="0" xfId="0" applyNumberFormat="true" applyFont="true" applyFill="true" applyAlignment="true">
      <alignment horizontal="center" vertical="center"/>
    </xf>
    <xf numFmtId="2" fontId="56" fillId="0" borderId="0" xfId="0" applyNumberFormat="true" applyFont="true" applyAlignment="true">
      <alignment horizontal="center" vertical="center"/>
    </xf>
    <xf numFmtId="192" fontId="1" fillId="0" borderId="0" xfId="0" applyNumberFormat="true" applyFont="true" applyAlignment="true">
      <alignment horizontal="center" vertical="center"/>
    </xf>
    <xf numFmtId="189" fontId="60" fillId="0" borderId="0" xfId="3" applyNumberFormat="true" applyFont="true" applyAlignment="true">
      <alignment horizontal="center" vertical="center"/>
    </xf>
    <xf numFmtId="0" fontId="1" fillId="0" borderId="7" xfId="0" applyFont="true" applyBorder="true" applyAlignment="true">
      <alignment horizontal="center" vertical="center" shrinkToFit="true"/>
    </xf>
    <xf numFmtId="2" fontId="1" fillId="0" borderId="7" xfId="0" applyNumberFormat="true" applyFont="true" applyBorder="true" applyAlignment="true">
      <alignment horizontal="center" vertical="center"/>
    </xf>
    <xf numFmtId="10" fontId="5" fillId="0" borderId="7" xfId="14" applyNumberFormat="true" applyFont="true" applyBorder="true" applyAlignment="true">
      <alignment horizontal="center" vertical="center"/>
    </xf>
    <xf numFmtId="2" fontId="1" fillId="0" borderId="7" xfId="43" applyNumberFormat="true" applyFont="true" applyBorder="true" applyAlignment="true">
      <alignment horizontal="center" vertical="center"/>
    </xf>
    <xf numFmtId="2" fontId="5" fillId="0" borderId="7" xfId="43" applyNumberFormat="true" applyFont="true" applyBorder="true" applyAlignment="true">
      <alignment horizontal="center" vertical="center"/>
    </xf>
    <xf numFmtId="0" fontId="6" fillId="0" borderId="7" xfId="1" applyFont="true" applyBorder="true" applyAlignment="true">
      <alignment horizontal="center" vertical="center"/>
    </xf>
    <xf numFmtId="189" fontId="54" fillId="2" borderId="7" xfId="0" applyNumberFormat="true" applyFont="true" applyFill="true" applyBorder="true" applyAlignment="true">
      <alignment horizontal="center" vertical="center"/>
    </xf>
    <xf numFmtId="187" fontId="56" fillId="0" borderId="0" xfId="0" applyNumberFormat="true" applyFont="true" applyAlignment="true">
      <alignment horizontal="center" vertical="center"/>
    </xf>
    <xf numFmtId="10" fontId="56" fillId="0" borderId="0" xfId="0" applyNumberFormat="true" applyFont="true" applyAlignment="true">
      <alignment horizontal="center" vertical="center"/>
    </xf>
    <xf numFmtId="187" fontId="56" fillId="10" borderId="0" xfId="0" applyNumberFormat="true" applyFont="true" applyFill="true" applyAlignment="true">
      <alignment horizontal="center" vertical="center"/>
    </xf>
    <xf numFmtId="10" fontId="56" fillId="10" borderId="0" xfId="0" applyNumberFormat="true" applyFont="true" applyFill="true" applyAlignment="true">
      <alignment horizontal="center" vertical="center"/>
    </xf>
    <xf numFmtId="187" fontId="56" fillId="0" borderId="0" xfId="14" applyNumberFormat="true" applyFont="true" applyAlignment="true">
      <alignment horizontal="center" vertical="center"/>
    </xf>
    <xf numFmtId="183" fontId="1" fillId="0" borderId="0" xfId="0" applyNumberFormat="true" applyFont="true" applyAlignment="true">
      <alignment horizontal="center" vertical="center"/>
    </xf>
    <xf numFmtId="187" fontId="1" fillId="0" borderId="7" xfId="0" applyNumberFormat="true" applyFont="true" applyBorder="true" applyAlignment="true">
      <alignment horizontal="center" vertical="center" shrinkToFit="true"/>
    </xf>
    <xf numFmtId="10" fontId="1" fillId="0" borderId="7" xfId="0" applyNumberFormat="true" applyFont="true" applyBorder="true" applyAlignment="true">
      <alignment horizontal="center" vertical="center" shrinkToFit="true"/>
    </xf>
    <xf numFmtId="187" fontId="1" fillId="0" borderId="7" xfId="0" applyNumberFormat="true" applyFont="true" applyBorder="true" applyAlignment="true">
      <alignment horizontal="center" vertical="center"/>
    </xf>
    <xf numFmtId="187" fontId="1" fillId="0" borderId="7" xfId="43" applyNumberFormat="true" applyFont="true" applyBorder="true" applyAlignment="true">
      <alignment horizontal="center" vertical="center"/>
    </xf>
    <xf numFmtId="10" fontId="1" fillId="0" borderId="7" xfId="43" applyNumberFormat="true" applyFont="true" applyBorder="true" applyAlignment="true">
      <alignment horizontal="center" vertical="center"/>
    </xf>
    <xf numFmtId="187" fontId="54" fillId="2" borderId="7" xfId="0" applyNumberFormat="true" applyFont="true" applyFill="true" applyBorder="true" applyAlignment="true">
      <alignment horizontal="center" vertical="center"/>
    </xf>
    <xf numFmtId="10" fontId="54" fillId="2" borderId="7" xfId="0" applyNumberFormat="true" applyFont="true" applyFill="true" applyBorder="true" applyAlignment="true">
      <alignment horizontal="center" vertical="center"/>
    </xf>
    <xf numFmtId="10" fontId="54" fillId="2" borderId="7" xfId="14" applyNumberFormat="true" applyFont="true" applyFill="true" applyBorder="true" applyAlignment="true">
      <alignment horizontal="center" vertical="center"/>
    </xf>
    <xf numFmtId="189" fontId="59" fillId="0" borderId="31" xfId="0" applyNumberFormat="true" applyFont="true" applyBorder="true" applyAlignment="true">
      <alignment horizontal="center" vertical="center" wrapText="true"/>
    </xf>
    <xf numFmtId="0" fontId="61" fillId="0" borderId="40" xfId="0" applyFont="true" applyBorder="true" applyAlignment="true">
      <alignment horizontal="center" vertical="center"/>
    </xf>
    <xf numFmtId="0" fontId="61" fillId="0" borderId="43" xfId="0" applyFont="true" applyBorder="true" applyAlignment="true">
      <alignment horizontal="center" vertical="center"/>
    </xf>
    <xf numFmtId="0" fontId="61" fillId="0" borderId="41" xfId="0" applyFont="true" applyBorder="true" applyAlignment="true">
      <alignment horizontal="center" vertical="center"/>
    </xf>
    <xf numFmtId="0" fontId="61" fillId="0" borderId="31" xfId="0" applyFont="true" applyBorder="true" applyAlignment="true">
      <alignment horizontal="center" vertical="center"/>
    </xf>
    <xf numFmtId="0" fontId="62" fillId="0" borderId="31" xfId="0" applyFont="true" applyBorder="true" applyAlignment="true">
      <alignment horizontal="center" vertical="center"/>
    </xf>
    <xf numFmtId="0" fontId="63" fillId="0" borderId="40" xfId="0" applyFont="true" applyBorder="true" applyAlignment="true">
      <alignment horizontal="center" vertical="center"/>
    </xf>
    <xf numFmtId="0" fontId="63" fillId="0" borderId="44" xfId="0" applyFont="true" applyBorder="true" applyAlignment="true">
      <alignment horizontal="center" vertical="center"/>
    </xf>
    <xf numFmtId="0" fontId="63" fillId="0" borderId="45" xfId="0" applyFont="true" applyBorder="true" applyAlignment="true">
      <alignment horizontal="center" vertical="center"/>
    </xf>
    <xf numFmtId="0" fontId="61" fillId="0" borderId="46" xfId="0" applyFont="true" applyBorder="true" applyAlignment="true">
      <alignment horizontal="center" vertical="center"/>
    </xf>
    <xf numFmtId="187" fontId="61" fillId="0" borderId="31" xfId="0" applyNumberFormat="true" applyFont="true" applyBorder="true" applyAlignment="true">
      <alignment horizontal="center" vertical="center"/>
    </xf>
    <xf numFmtId="10" fontId="61" fillId="0" borderId="31" xfId="0" applyNumberFormat="true" applyFont="true" applyBorder="true" applyAlignment="true">
      <alignment horizontal="center" vertical="center"/>
    </xf>
    <xf numFmtId="0" fontId="5" fillId="0" borderId="18" xfId="0" applyFont="true" applyBorder="true" applyAlignment="true" quotePrefix="true">
      <alignment horizontal="center" vertical="center"/>
    </xf>
    <xf numFmtId="177" fontId="5" fillId="2" borderId="7" xfId="0" applyNumberFormat="true" applyFont="true" applyFill="true" applyBorder="true" applyAlignment="true" quotePrefix="true">
      <alignment horizontal="center" vertical="center"/>
    </xf>
    <xf numFmtId="0" fontId="6" fillId="0" borderId="7" xfId="0" applyFont="true" applyBorder="true" applyAlignment="true" quotePrefix="true">
      <alignment horizontal="center" vertical="center" shrinkToFit="true"/>
    </xf>
    <xf numFmtId="0" fontId="5" fillId="0" borderId="7" xfId="0" applyFont="true" applyBorder="true" applyAlignment="true" quotePrefix="true">
      <alignment horizontal="center" vertical="center"/>
    </xf>
    <xf numFmtId="0" fontId="6" fillId="0" borderId="7" xfId="0" applyFont="true" applyBorder="true" applyAlignment="true" quotePrefix="true">
      <alignment horizontal="center" vertical="center"/>
    </xf>
    <xf numFmtId="0" fontId="10" fillId="0" borderId="7" xfId="22" applyFont="true" applyBorder="true" applyAlignment="true" quotePrefix="true">
      <alignment horizontal="left"/>
    </xf>
    <xf numFmtId="9" fontId="1" fillId="0" borderId="7" xfId="0" applyNumberFormat="true" applyFont="true" applyBorder="true" applyAlignment="true" quotePrefix="true">
      <alignment horizontal="center" vertical="center"/>
    </xf>
    <xf numFmtId="0" fontId="2" fillId="2" borderId="8" xfId="0" applyFont="true" applyFill="true" applyBorder="true" applyAlignment="true" quotePrefix="true">
      <alignment horizontal="right" vertical="center"/>
    </xf>
  </cellXfs>
  <cellStyles count="57">
    <cellStyle name="常规" xfId="0" builtinId="0"/>
    <cellStyle name="普通_总表_1_施湾初总" xfId="1"/>
    <cellStyle name="常规_总表" xfId="2"/>
    <cellStyle name="常规 5" xfId="3"/>
    <cellStyle name="常规 2" xfId="4"/>
    <cellStyle name="Normal" xfId="5"/>
    <cellStyle name="60% - 强调文字颜色 6" xfId="6" builtinId="52"/>
    <cellStyle name="20% - 强调文字颜色 4" xfId="7" builtinId="42"/>
    <cellStyle name="强调文字颜色 4" xfId="8" builtinId="41"/>
    <cellStyle name="输入" xfId="9" builtinId="20"/>
    <cellStyle name="40% - 强调文字颜色 3" xfId="10" builtinId="39"/>
    <cellStyle name="20% - 强调文字颜色 3" xfId="11" builtinId="38"/>
    <cellStyle name="货币" xfId="12" builtinId="4"/>
    <cellStyle name="强调文字颜色 3" xfId="13" builtinId="37"/>
    <cellStyle name="百分比" xfId="14" builtinId="5"/>
    <cellStyle name="60% - 强调文字颜色 2" xfId="15" builtinId="36"/>
    <cellStyle name="60% - 强调文字颜色 5" xfId="16" builtinId="48"/>
    <cellStyle name="强调文字颜色 2" xfId="17" builtinId="33"/>
    <cellStyle name="60% - 强调文字颜色 1" xfId="18" builtinId="32"/>
    <cellStyle name="60% - 强调文字颜色 4" xfId="19" builtinId="44"/>
    <cellStyle name="计算" xfId="20" builtinId="22"/>
    <cellStyle name="强调文字颜色 1" xfId="21" builtinId="29"/>
    <cellStyle name="常规_财务评价(污水厂)" xfId="22"/>
    <cellStyle name="适中" xfId="23" builtinId="28"/>
    <cellStyle name="20% - 强调文字颜色 5" xfId="24" builtinId="46"/>
    <cellStyle name="好" xfId="25" builtinId="26"/>
    <cellStyle name="20% - 强调文字颜色 1" xfId="26" builtinId="30"/>
    <cellStyle name="汇总" xfId="27" builtinId="25"/>
    <cellStyle name="差" xfId="28" builtinId="27"/>
    <cellStyle name="检查单元格" xfId="29" builtinId="23"/>
    <cellStyle name="输出" xfId="30" builtinId="21"/>
    <cellStyle name="标题 1" xfId="31" builtinId="16"/>
    <cellStyle name="解释性文本" xfId="32" builtinId="53"/>
    <cellStyle name="20% - 强调文字颜色 2" xfId="33" builtinId="34"/>
    <cellStyle name="标题 4" xfId="34" builtinId="19"/>
    <cellStyle name="货币[0]" xfId="35" builtinId="7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40% - 强调文字颜色 2" xfId="40" builtinId="35"/>
    <cellStyle name="警告文本" xfId="41" builtinId="11"/>
    <cellStyle name="60% - 强调文字颜色 3" xfId="42" builtinId="40"/>
    <cellStyle name="普通_QINGPU1" xfId="43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千位分隔[0]" xfId="49" builtinId="6"/>
    <cellStyle name="标题 2" xfId="50" builtinId="17"/>
    <cellStyle name="常规 2 3" xfId="51"/>
    <cellStyle name="40% - 强调文字颜色 5" xfId="52" builtinId="47"/>
    <cellStyle name="标题 3" xfId="53" builtinId="18"/>
    <cellStyle name="强调文字颜色 6" xfId="54" builtinId="49"/>
    <cellStyle name="40% - 强调文字颜色 1" xfId="55" builtinId="31"/>
    <cellStyle name="链接单元格" xfId="56" builtinId="24"/>
  </cellStyles>
  <dxfs count="4">
    <dxf>
      <fill>
        <patternFill patternType="solid">
          <bgColor rgb="FFFFC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0"/>
      </font>
    </dxf>
    <dxf>
      <font>
        <b val="1"/>
        <i val="0"/>
        <color indexed="10"/>
      </font>
    </dxf>
  </dxfs>
  <tableStyles count="0" defaultTableStyle="TableStyleMedium2" defaultPivotStyle="PivotStyleMedium9"/>
  <colors>
    <mruColors>
      <color rgb="00C6EFCE"/>
      <color rgb="00333333"/>
      <color rgb="00F2DCDB"/>
      <color rgb="0000FF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4.xml"/><Relationship Id="rId27" Type="http://schemas.openxmlformats.org/officeDocument/2006/relationships/externalLink" Target="externalLinks/externalLink3.xml"/><Relationship Id="rId26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true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</a:defRPr>
            </a:pPr>
            <a:r>
              <a:rPr lang="zh-CN" altLang="en-US"/>
              <a:t>全部投资敏感性分析图</a:t>
            </a:r>
            <a:endParaRPr lang="zh-CN" altLang="en-US"/>
          </a:p>
        </c:rich>
      </c:tx>
      <c:layout>
        <c:manualLayout>
          <c:xMode val="edge"/>
          <c:yMode val="edge"/>
          <c:x val="0.35586761476244"/>
          <c:y val="0.0390878412925657"/>
        </c:manualLayout>
      </c:layout>
      <c:overlay val="false"/>
      <c:spPr>
        <a:noFill/>
        <a:ln w="25400">
          <a:noFill/>
        </a:ln>
      </c:spPr>
    </c:title>
    <c:autoTitleDeleted val="false"/>
    <c:plotArea>
      <c:layout>
        <c:manualLayout>
          <c:layoutTarget val="inner"/>
          <c:xMode val="edge"/>
          <c:yMode val="edge"/>
          <c:x val="0.145408253826689"/>
          <c:y val="0.14983737186573"/>
          <c:w val="0.534439108363005"/>
          <c:h val="0.680782841737775"/>
        </c:manualLayout>
      </c:layout>
      <c:lineChart>
        <c:grouping val="standard"/>
        <c:varyColors val="false"/>
        <c:ser>
          <c:idx val="2"/>
          <c:order val="0"/>
          <c:tx>
            <c:strRef>
              <c:f>敏感分析!$G$3</c:f>
              <c:strCache>
                <c:ptCount val="1"/>
                <c:pt idx="0">
                  <c:v>收费单价</c:v>
                </c:pt>
              </c:strCache>
            </c:strRef>
          </c:tx>
          <c:spPr>
            <a:ln w="12700" cap="rnd" cmpd="sng" algn="ctr">
              <a:solidFill>
                <a:srgbClr val="800000"/>
              </a:solidFill>
              <a:prstDash val="solid"/>
              <a:round/>
            </a:ln>
          </c:spPr>
          <c:marker>
            <c:symbol val="triangle"/>
            <c:size val="5"/>
            <c:spPr>
              <a:solidFill>
                <a:srgbClr val="FFFF00"/>
              </a:solidFill>
              <a:ln w="9525" cap="flat" cmpd="sng" algn="ctr">
                <a:solidFill>
                  <a:srgbClr val="800000"/>
                </a:solidFill>
                <a:prstDash val="solid"/>
                <a:round/>
              </a:ln>
            </c:spPr>
          </c:marker>
          <c:dLbls>
            <c:delete val="true"/>
          </c:dLbls>
          <c:cat>
            <c:strRef>
              <c:f>敏感分析!$D$4:$D$8</c:f>
              <c:strCache>
                <c:ptCount val="5"/>
                <c:pt idx="0" c:formatCode="0%">
                  <c:v>-20%</c:v>
                </c:pt>
                <c:pt idx="1" c:formatCode="0%">
                  <c:v>-10%</c:v>
                </c:pt>
                <c:pt idx="2" c:formatCode="0%">
                  <c:v>0%</c:v>
                </c:pt>
                <c:pt idx="3" c:formatCode="0%">
                  <c:v>+10%</c:v>
                </c:pt>
                <c:pt idx="4" c:formatCode="0%">
                  <c:v>+20%</c:v>
                </c:pt>
              </c:strCache>
            </c:strRef>
          </c:cat>
          <c:val>
            <c:numRef>
              <c:f>敏感分析!$G$4:$G$8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false"/>
        </c:ser>
        <c:ser>
          <c:idx val="0"/>
          <c:order val="1"/>
          <c:tx>
            <c:strRef>
              <c:f>敏感分析!$E$3</c:f>
              <c:strCache>
                <c:ptCount val="1"/>
                <c:pt idx="0">
                  <c:v>工程投资</c:v>
                </c:pt>
              </c:strCache>
            </c:strRef>
          </c:tx>
          <c:spPr>
            <a:ln w="12700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  <a:ln w="9525" cap="flat" cmpd="sng" algn="ctr">
                <a:solidFill>
                  <a:srgbClr val="00FF00"/>
                </a:solidFill>
                <a:prstDash val="solid"/>
                <a:round/>
              </a:ln>
            </c:spPr>
          </c:marker>
          <c:dLbls>
            <c:delete val="true"/>
          </c:dLbls>
          <c:cat>
            <c:strRef>
              <c:f>敏感分析!$D$4:$D$8</c:f>
              <c:strCache>
                <c:ptCount val="5"/>
                <c:pt idx="0" c:formatCode="0%">
                  <c:v>-20%</c:v>
                </c:pt>
                <c:pt idx="1" c:formatCode="0%">
                  <c:v>-10%</c:v>
                </c:pt>
                <c:pt idx="2" c:formatCode="0%">
                  <c:v>0%</c:v>
                </c:pt>
                <c:pt idx="3" c:formatCode="0%">
                  <c:v>+10%</c:v>
                </c:pt>
                <c:pt idx="4" c:formatCode="0%">
                  <c:v>+20%</c:v>
                </c:pt>
              </c:strCache>
            </c:strRef>
          </c:cat>
          <c:val>
            <c:numRef>
              <c:f>敏感分析!$E$4:$E$8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false"/>
        </c:ser>
        <c:ser>
          <c:idx val="1"/>
          <c:order val="2"/>
          <c:tx>
            <c:strRef>
              <c:f>敏感分析!$F$3</c:f>
              <c:strCache>
                <c:ptCount val="1"/>
                <c:pt idx="0">
                  <c:v>经营成本</c:v>
                </c:pt>
              </c:strCache>
            </c:strRef>
          </c:tx>
          <c:spPr>
            <a:ln w="12700" cap="rnd" cmpd="sng" algn="ctr">
              <a:solidFill>
                <a:srgbClr val="0000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00FF"/>
              </a:solidFill>
              <a:ln w="9525" cap="flat" cmpd="sng" algn="ctr">
                <a:solidFill>
                  <a:srgbClr val="FF00FF"/>
                </a:solidFill>
                <a:prstDash val="solid"/>
                <a:round/>
              </a:ln>
            </c:spPr>
          </c:marker>
          <c:dLbls>
            <c:delete val="true"/>
          </c:dLbls>
          <c:cat>
            <c:strRef>
              <c:f>敏感分析!$D$4:$D$8</c:f>
              <c:strCache>
                <c:ptCount val="5"/>
                <c:pt idx="0" c:formatCode="0%">
                  <c:v>-20%</c:v>
                </c:pt>
                <c:pt idx="1" c:formatCode="0%">
                  <c:v>-10%</c:v>
                </c:pt>
                <c:pt idx="2" c:formatCode="0%">
                  <c:v>0%</c:v>
                </c:pt>
                <c:pt idx="3" c:formatCode="0%">
                  <c:v>+10%</c:v>
                </c:pt>
                <c:pt idx="4" c:formatCode="0%">
                  <c:v>+20%</c:v>
                </c:pt>
              </c:strCache>
            </c:strRef>
          </c:cat>
          <c:val>
            <c:numRef>
              <c:f>敏感分析!$F$4:$F$8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false"/>
        </c:ser>
        <c:dLbls>
          <c:showLegendKey val="false"/>
          <c:showVal val="false"/>
          <c:showCatName val="false"/>
          <c:showSerName val="false"/>
          <c:showPercent val="false"/>
          <c:showBubbleSize val="false"/>
        </c:dLbls>
        <c:marker val="true"/>
        <c:smooth val="false"/>
        <c:axId val="197808512"/>
        <c:axId val="197810816"/>
      </c:lineChart>
      <c:catAx>
        <c:axId val="197808512"/>
        <c:scaling>
          <c:orientation val="minMax"/>
        </c:scaling>
        <c:delete val="false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true"/>
              <a:lstStyle/>
              <a:p>
                <a:pPr>
                  <a:defRPr lang="zh-CN" sz="11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zh-CN" altLang="en-US" sz="1125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不确定因素变化率(%)</a:t>
                </a:r>
                <a:endParaRPr lang="zh-CN" altLang="en-US" sz="1125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317602174728159"/>
              <c:y val="0.915310699798889"/>
            </c:manualLayout>
          </c:layout>
          <c:overlay val="false"/>
          <c:spPr>
            <a:noFill/>
            <a:ln w="25400">
              <a:noFill/>
            </a:ln>
          </c:spPr>
        </c:title>
        <c:numFmt formatCode="General" sourceLinked="true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true"/>
          <a:lstStyle/>
          <a:p>
            <a:pPr>
              <a:defRPr lang="zh-CN" sz="11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97810816"/>
        <c:crossesAt val="0.04"/>
        <c:auto val="true"/>
        <c:lblAlgn val="ctr"/>
        <c:lblOffset val="100"/>
        <c:tickLblSkip val="1"/>
        <c:noMultiLvlLbl val="false"/>
      </c:catAx>
      <c:valAx>
        <c:axId val="197810816"/>
        <c:scaling>
          <c:orientation val="minMax"/>
          <c:max val="0.14"/>
          <c:min val="0.02"/>
        </c:scaling>
        <c:delete val="false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true"/>
              <a:lstStyle/>
              <a:p>
                <a:pPr>
                  <a:defRPr lang="zh-CN" sz="1100" b="0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zh-CN" altLang="en-US" sz="1125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内部收益率(%)</a:t>
                </a:r>
                <a:endParaRPr lang="zh-CN" altLang="en-US" sz="1125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038265306122449"/>
              <c:y val="0.322476054129597"/>
            </c:manualLayout>
          </c:layout>
          <c:overlay val="false"/>
          <c:spPr>
            <a:noFill/>
            <a:ln w="25400">
              <a:noFill/>
            </a:ln>
          </c:spPr>
        </c:title>
        <c:numFmt formatCode="0.00%" sourceLinked="false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true"/>
          <a:lstStyle/>
          <a:p>
            <a:pPr>
              <a:defRPr lang="zh-CN" sz="112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97808512"/>
        <c:crosses val="autoZero"/>
        <c:crossBetween val="midCat"/>
        <c:majorUnit val="0.02"/>
        <c:minorUnit val="0.0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95273755116"/>
          <c:y val="0.371336196611787"/>
          <c:w val="0.149638015527779"/>
          <c:h val="0.179153287657225"/>
        </c:manualLayout>
      </c:layout>
      <c:overlay val="false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true"/>
        <a:lstStyle/>
        <a:p>
          <a:pPr>
            <a:defRPr lang="zh-CN" sz="92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true"/>
    <c:dispBlanksAs val="gap"/>
    <c:showDLblsOverMax val="false"/>
  </c:chart>
  <c:spPr>
    <a:solidFill>
      <a:srgbClr val="FFFFFF"/>
    </a:solidFill>
    <a:ln w="9525" cap="flat" cmpd="sng" algn="ctr">
      <a:noFill/>
      <a:prstDash val="solid"/>
      <a:round/>
    </a:ln>
  </c:spPr>
  <c:txPr>
    <a:bodyPr/>
    <a:lstStyle/>
    <a:p>
      <a:pPr>
        <a:defRPr lang="zh-CN" sz="142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218</xdr:row>
      <xdr:rowOff>0</xdr:rowOff>
    </xdr:from>
    <xdr:to>
      <xdr:col>16</xdr:col>
      <xdr:colOff>520257</xdr:colOff>
      <xdr:row>224</xdr:row>
      <xdr:rowOff>131139</xdr:rowOff>
    </xdr:to>
    <xdr:pic>
      <xdr:nvPicPr>
        <xdr:cNvPr id="2" name="图片 1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3392150" y="50794920"/>
          <a:ext cx="4939665" cy="15024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3</xdr:row>
      <xdr:rowOff>0</xdr:rowOff>
    </xdr:from>
    <xdr:to>
      <xdr:col>2</xdr:col>
      <xdr:colOff>1943100</xdr:colOff>
      <xdr:row>4</xdr:row>
      <xdr:rowOff>219075</xdr:rowOff>
    </xdr:to>
    <xdr:sp>
      <xdr:nvSpPr>
        <xdr:cNvPr id="2" name="Line 1"/>
        <xdr:cNvSpPr>
          <a:spLocks noChangeShapeType="true"/>
        </xdr:cNvSpPr>
      </xdr:nvSpPr>
      <xdr:spPr>
        <a:xfrm>
          <a:off x="571500" y="476250"/>
          <a:ext cx="12192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3" name="Line 2"/>
        <xdr:cNvSpPr>
          <a:spLocks noChangeShapeType="true"/>
        </xdr:cNvSpPr>
      </xdr:nvSpPr>
      <xdr:spPr>
        <a:xfrm>
          <a:off x="571500" y="476250"/>
          <a:ext cx="12192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4" name="Line 3"/>
        <xdr:cNvSpPr>
          <a:spLocks noChangeShapeType="true"/>
        </xdr:cNvSpPr>
      </xdr:nvSpPr>
      <xdr:spPr>
        <a:xfrm>
          <a:off x="571500" y="476250"/>
          <a:ext cx="1219200" cy="361950"/>
        </a:xfrm>
        <a:prstGeom prst="lin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3</xdr:row>
      <xdr:rowOff>0</xdr:rowOff>
    </xdr:from>
    <xdr:to>
      <xdr:col>2</xdr:col>
      <xdr:colOff>1943100</xdr:colOff>
      <xdr:row>4</xdr:row>
      <xdr:rowOff>219075</xdr:rowOff>
    </xdr:to>
    <xdr:sp>
      <xdr:nvSpPr>
        <xdr:cNvPr id="2" name="Line 1"/>
        <xdr:cNvSpPr>
          <a:spLocks noChangeShapeType="true"/>
        </xdr:cNvSpPr>
      </xdr:nvSpPr>
      <xdr:spPr>
        <a:xfrm>
          <a:off x="552450" y="476250"/>
          <a:ext cx="12573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3" name="Line 2"/>
        <xdr:cNvSpPr>
          <a:spLocks noChangeShapeType="true"/>
        </xdr:cNvSpPr>
      </xdr:nvSpPr>
      <xdr:spPr>
        <a:xfrm>
          <a:off x="552450" y="476250"/>
          <a:ext cx="12573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4" name="Line 3"/>
        <xdr:cNvSpPr>
          <a:spLocks noChangeShapeType="true"/>
        </xdr:cNvSpPr>
      </xdr:nvSpPr>
      <xdr:spPr>
        <a:xfrm>
          <a:off x="552450" y="476250"/>
          <a:ext cx="12573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1"/>
        <xdr:cNvSpPr>
          <a:spLocks noChangeShapeType="true"/>
        </xdr:cNvSpPr>
      </xdr:nvSpPr>
      <xdr:spPr>
        <a:xfrm>
          <a:off x="714375" y="476250"/>
          <a:ext cx="1752600" cy="63373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177800</xdr:colOff>
      <xdr:row>10</xdr:row>
      <xdr:rowOff>9525</xdr:rowOff>
    </xdr:from>
    <xdr:to>
      <xdr:col>9</xdr:col>
      <xdr:colOff>622301</xdr:colOff>
      <xdr:row>25</xdr:row>
      <xdr:rowOff>28575</xdr:rowOff>
    </xdr:to>
    <xdr:graphicFrame>
      <xdr:nvGraphicFramePr>
        <xdr:cNvPr id="2" name="Chart 1"/>
        <xdr:cNvGraphicFramePr/>
      </xdr:nvGraphicFramePr>
      <xdr:xfrm>
        <a:off x="1177925" y="2402840"/>
        <a:ext cx="7797800" cy="2949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10602</xdr:colOff>
      <xdr:row>3</xdr:row>
      <xdr:rowOff>10603</xdr:rowOff>
    </xdr:from>
    <xdr:to>
      <xdr:col>2</xdr:col>
      <xdr:colOff>233238</xdr:colOff>
      <xdr:row>6</xdr:row>
      <xdr:rowOff>1</xdr:rowOff>
    </xdr:to>
    <xdr:cxnSp>
      <xdr:nvCxnSpPr>
        <xdr:cNvPr id="2" name="直接连接符 1"/>
        <xdr:cNvCxnSpPr/>
      </xdr:nvCxnSpPr>
      <xdr:spPr>
        <a:xfrm>
          <a:off x="353060" y="848995"/>
          <a:ext cx="984885" cy="94805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21205</xdr:colOff>
      <xdr:row>3</xdr:row>
      <xdr:rowOff>1</xdr:rowOff>
    </xdr:from>
    <xdr:to>
      <xdr:col>4</xdr:col>
      <xdr:colOff>0</xdr:colOff>
      <xdr:row>4</xdr:row>
      <xdr:rowOff>180229</xdr:rowOff>
    </xdr:to>
    <xdr:cxnSp>
      <xdr:nvCxnSpPr>
        <xdr:cNvPr id="3" name="直接连接符 2"/>
        <xdr:cNvCxnSpPr/>
      </xdr:nvCxnSpPr>
      <xdr:spPr>
        <a:xfrm>
          <a:off x="363855" y="838835"/>
          <a:ext cx="2236470" cy="4991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</xdr:row>
      <xdr:rowOff>0</xdr:rowOff>
    </xdr:from>
    <xdr:to>
      <xdr:col>2</xdr:col>
      <xdr:colOff>1943100</xdr:colOff>
      <xdr:row>3</xdr:row>
      <xdr:rowOff>219075</xdr:rowOff>
    </xdr:to>
    <xdr:sp>
      <xdr:nvSpPr>
        <xdr:cNvPr id="2" name="Line 1"/>
        <xdr:cNvSpPr>
          <a:spLocks noChangeShapeType="true"/>
        </xdr:cNvSpPr>
      </xdr:nvSpPr>
      <xdr:spPr>
        <a:xfrm>
          <a:off x="438150" y="142875"/>
          <a:ext cx="12192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1943100</xdr:colOff>
      <xdr:row>4</xdr:row>
      <xdr:rowOff>0</xdr:rowOff>
    </xdr:to>
    <xdr:sp>
      <xdr:nvSpPr>
        <xdr:cNvPr id="3" name="Line 4"/>
        <xdr:cNvSpPr>
          <a:spLocks noChangeShapeType="true"/>
        </xdr:cNvSpPr>
      </xdr:nvSpPr>
      <xdr:spPr>
        <a:xfrm>
          <a:off x="438150" y="142875"/>
          <a:ext cx="12192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2</xdr:col>
      <xdr:colOff>1943100</xdr:colOff>
      <xdr:row>4</xdr:row>
      <xdr:rowOff>0</xdr:rowOff>
    </xdr:to>
    <xdr:sp>
      <xdr:nvSpPr>
        <xdr:cNvPr id="4" name="Line 5"/>
        <xdr:cNvSpPr>
          <a:spLocks noChangeShapeType="true"/>
        </xdr:cNvSpPr>
      </xdr:nvSpPr>
      <xdr:spPr>
        <a:xfrm>
          <a:off x="438150" y="142875"/>
          <a:ext cx="1219200" cy="361950"/>
        </a:xfrm>
        <a:prstGeom prst="line">
          <a:avLst/>
        </a:prstGeom>
        <a:noFill/>
        <a:ln w="6350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3</xdr:row>
      <xdr:rowOff>0</xdr:rowOff>
    </xdr:from>
    <xdr:to>
      <xdr:col>2</xdr:col>
      <xdr:colOff>1943100</xdr:colOff>
      <xdr:row>4</xdr:row>
      <xdr:rowOff>219075</xdr:rowOff>
    </xdr:to>
    <xdr:sp>
      <xdr:nvSpPr>
        <xdr:cNvPr id="2" name="Line 1"/>
        <xdr:cNvSpPr>
          <a:spLocks noChangeShapeType="true"/>
        </xdr:cNvSpPr>
      </xdr:nvSpPr>
      <xdr:spPr>
        <a:xfrm>
          <a:off x="552450" y="609600"/>
          <a:ext cx="12573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3" name="Line 2"/>
        <xdr:cNvSpPr>
          <a:spLocks noChangeShapeType="true"/>
        </xdr:cNvSpPr>
      </xdr:nvSpPr>
      <xdr:spPr>
        <a:xfrm>
          <a:off x="552450" y="609600"/>
          <a:ext cx="12573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4" name="Line 3"/>
        <xdr:cNvSpPr>
          <a:spLocks noChangeShapeType="true"/>
        </xdr:cNvSpPr>
      </xdr:nvSpPr>
      <xdr:spPr>
        <a:xfrm>
          <a:off x="552450" y="609600"/>
          <a:ext cx="12573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3</xdr:row>
      <xdr:rowOff>200025</xdr:rowOff>
    </xdr:to>
    <xdr:sp>
      <xdr:nvSpPr>
        <xdr:cNvPr id="2" name="Line 1"/>
        <xdr:cNvSpPr>
          <a:spLocks noChangeShapeType="true"/>
        </xdr:cNvSpPr>
      </xdr:nvSpPr>
      <xdr:spPr>
        <a:xfrm>
          <a:off x="428625" y="590550"/>
          <a:ext cx="13335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28</xdr:row>
      <xdr:rowOff>200025</xdr:rowOff>
    </xdr:to>
    <xdr:sp>
      <xdr:nvSpPr>
        <xdr:cNvPr id="3" name="Line 6"/>
        <xdr:cNvSpPr>
          <a:spLocks noChangeShapeType="true"/>
        </xdr:cNvSpPr>
      </xdr:nvSpPr>
      <xdr:spPr>
        <a:xfrm>
          <a:off x="0" y="476504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2" name="Line 1"/>
        <xdr:cNvSpPr>
          <a:spLocks noChangeShapeType="true"/>
        </xdr:cNvSpPr>
      </xdr:nvSpPr>
      <xdr:spPr>
        <a:xfrm>
          <a:off x="457200" y="574040"/>
          <a:ext cx="1066800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2" name="Line 1025"/>
        <xdr:cNvSpPr>
          <a:spLocks noChangeShapeType="true"/>
        </xdr:cNvSpPr>
      </xdr:nvSpPr>
      <xdr:spPr>
        <a:xfrm>
          <a:off x="361950" y="574040"/>
          <a:ext cx="1781175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1943100</xdr:colOff>
      <xdr:row>5</xdr:row>
      <xdr:rowOff>0</xdr:rowOff>
    </xdr:to>
    <xdr:sp>
      <xdr:nvSpPr>
        <xdr:cNvPr id="3" name="Line 1028"/>
        <xdr:cNvSpPr>
          <a:spLocks noChangeShapeType="true"/>
        </xdr:cNvSpPr>
      </xdr:nvSpPr>
      <xdr:spPr>
        <a:xfrm>
          <a:off x="361950" y="574040"/>
          <a:ext cx="1781175" cy="36195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</xdr:row>
      <xdr:rowOff>0</xdr:rowOff>
    </xdr:from>
    <xdr:to>
      <xdr:col>2</xdr:col>
      <xdr:colOff>1114425</xdr:colOff>
      <xdr:row>3</xdr:row>
      <xdr:rowOff>314325</xdr:rowOff>
    </xdr:to>
    <xdr:sp>
      <xdr:nvSpPr>
        <xdr:cNvPr id="2" name="Line 1"/>
        <xdr:cNvSpPr>
          <a:spLocks noChangeShapeType="true"/>
        </xdr:cNvSpPr>
      </xdr:nvSpPr>
      <xdr:spPr>
        <a:xfrm>
          <a:off x="428625" y="542925"/>
          <a:ext cx="1066800" cy="64579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</xdr:row>
      <xdr:rowOff>0</xdr:rowOff>
    </xdr:from>
    <xdr:to>
      <xdr:col>2</xdr:col>
      <xdr:colOff>1114425</xdr:colOff>
      <xdr:row>3</xdr:row>
      <xdr:rowOff>314325</xdr:rowOff>
    </xdr:to>
    <xdr:sp>
      <xdr:nvSpPr>
        <xdr:cNvPr id="2" name="Line 1"/>
        <xdr:cNvSpPr>
          <a:spLocks noChangeShapeType="true"/>
        </xdr:cNvSpPr>
      </xdr:nvSpPr>
      <xdr:spPr>
        <a:xfrm>
          <a:off x="428625" y="542925"/>
          <a:ext cx="1066800" cy="64579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1"/>
        <xdr:cNvSpPr>
          <a:spLocks noChangeShapeType="true"/>
        </xdr:cNvSpPr>
      </xdr:nvSpPr>
      <xdr:spPr>
        <a:xfrm>
          <a:off x="552450" y="552450"/>
          <a:ext cx="2266950" cy="66294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</xdr:colOff>
      <xdr:row>2</xdr:row>
      <xdr:rowOff>0</xdr:rowOff>
    </xdr:from>
    <xdr:to>
      <xdr:col>2</xdr:col>
      <xdr:colOff>1114425</xdr:colOff>
      <xdr:row>3</xdr:row>
      <xdr:rowOff>314325</xdr:rowOff>
    </xdr:to>
    <xdr:sp>
      <xdr:nvSpPr>
        <xdr:cNvPr id="2" name="Line 1"/>
        <xdr:cNvSpPr>
          <a:spLocks noChangeShapeType="true"/>
        </xdr:cNvSpPr>
      </xdr:nvSpPr>
      <xdr:spPr>
        <a:xfrm>
          <a:off x="552450" y="590550"/>
          <a:ext cx="1066800" cy="645795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&#21487;&#30740;/&#24191;&#20013;&#36335;&#27893;&#31449;/1&#39044;&#21487;&#30740;/WINDOWS/TEMP/SUPPLY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yuan_h.gys/LOCALS~1/Temp/user2005year/&#26477;&#24030;&#24066;&#22235;&#22561;&#21378;&#21453;&#21521;&#36755;&#36865;&#24037;&#31243;&#27010;&#31639;08/&#36755;&#36865;&#27893;&#25151;&#22303;&#243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&#40644;&#36229;/2023.10.21&#20747;&#24030;&#24066;&#35199;&#21306;&#20379;&#27700;&#21450;&#37197;&#27700;&#31649;&#36947;&#24037;&#31243;&#39033;&#30446;/&#35745;&#31639;&#2007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494;&#20449;&#20445;&#23384;&#25991;&#20214;/WeChat Files/zj999613/FileStorage/File/2023-08/&#20747;&#24030;&#24066;&#35199;&#21306;&#31649;&#32593;&#24037;&#31243;&#39033;&#30446;&#26234;&#24935;&#27700;&#21153;&#24037;&#31243;&#37327;&#28165;&#21333;0823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.xlm"/>
      <sheetName val="analy"/>
      <sheetName val="Sheet2"/>
      <sheetName val="ANALYSIS"/>
      <sheetName val="Sheet1"/>
      <sheetName val="成本表"/>
      <sheetName val="全部流量"/>
      <sheetName val="国内流量"/>
      <sheetName val="损益表"/>
      <sheetName val="资金应用"/>
      <sheetName val="负债表"/>
      <sheetName val="借款表"/>
      <sheetName val="总表"/>
      <sheetName val="REGRESS"/>
      <sheetName val="财务总表"/>
      <sheetName val="机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输送泵房土建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管"/>
      <sheetName val="进村次干管及支管与配水管网"/>
      <sheetName val="配水管"/>
      <sheetName val="配水管 (2)"/>
      <sheetName val="进村次干管及支管与配水管网 (调整砂垫层)"/>
      <sheetName val="工程量"/>
      <sheetName val="1#泵站"/>
      <sheetName val="人员安排"/>
    </sheetNames>
    <sheetDataSet>
      <sheetData sheetId="0"/>
      <sheetData sheetId="1"/>
      <sheetData sheetId="2">
        <row r="4">
          <cell r="D4">
            <v>10957.958</v>
          </cell>
        </row>
        <row r="5">
          <cell r="D5">
            <v>136021.659</v>
          </cell>
        </row>
        <row r="6">
          <cell r="D6">
            <v>27743.28</v>
          </cell>
        </row>
        <row r="7">
          <cell r="D7">
            <v>60910.24</v>
          </cell>
        </row>
        <row r="8">
          <cell r="D8">
            <v>108100</v>
          </cell>
        </row>
        <row r="13">
          <cell r="D13">
            <v>9838.19555164917</v>
          </cell>
        </row>
        <row r="14">
          <cell r="D14">
            <v>135859.352</v>
          </cell>
        </row>
        <row r="15">
          <cell r="D15">
            <v>28702.688</v>
          </cell>
        </row>
        <row r="16">
          <cell r="D16">
            <v>35346.647</v>
          </cell>
        </row>
        <row r="17">
          <cell r="D17">
            <v>95334</v>
          </cell>
        </row>
        <row r="22">
          <cell r="D22">
            <v>7821.052</v>
          </cell>
        </row>
        <row r="23">
          <cell r="D23">
            <v>51953.94</v>
          </cell>
        </row>
        <row r="24">
          <cell r="D24">
            <v>8180.186</v>
          </cell>
        </row>
        <row r="25">
          <cell r="D25">
            <v>21254.879</v>
          </cell>
        </row>
        <row r="26">
          <cell r="D26">
            <v>49376</v>
          </cell>
        </row>
        <row r="32">
          <cell r="D32">
            <v>9997</v>
          </cell>
        </row>
        <row r="33">
          <cell r="D33">
            <v>160778</v>
          </cell>
        </row>
        <row r="34">
          <cell r="D34">
            <v>31571</v>
          </cell>
        </row>
        <row r="35">
          <cell r="D35">
            <v>56240</v>
          </cell>
        </row>
        <row r="36">
          <cell r="D36">
            <v>141000</v>
          </cell>
        </row>
        <row r="41">
          <cell r="D41">
            <v>2698</v>
          </cell>
        </row>
        <row r="42">
          <cell r="D42">
            <v>36445</v>
          </cell>
        </row>
        <row r="43">
          <cell r="D43">
            <v>7234</v>
          </cell>
        </row>
        <row r="44">
          <cell r="D44">
            <v>12888</v>
          </cell>
        </row>
        <row r="45">
          <cell r="D45">
            <v>39792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管网监测"/>
      <sheetName val="信息化"/>
    </sheetNames>
    <sheetDataSet>
      <sheetData sheetId="0"/>
      <sheetData sheetId="1">
        <row r="3">
          <cell r="F3">
            <v>1544675.96</v>
          </cell>
        </row>
        <row r="22">
          <cell r="F22">
            <v>1424113.24</v>
          </cell>
        </row>
        <row r="36">
          <cell r="F36">
            <v>895287.28</v>
          </cell>
        </row>
        <row r="47">
          <cell r="F47">
            <v>7579881.42</v>
          </cell>
        </row>
        <row r="61">
          <cell r="F61">
            <v>1637654.4</v>
          </cell>
        </row>
        <row r="68">
          <cell r="F68">
            <v>318890</v>
          </cell>
        </row>
        <row r="76">
          <cell r="F76">
            <v>844000</v>
          </cell>
        </row>
      </sheetData>
      <sheetData sheetId="2">
        <row r="3">
          <cell r="G3">
            <v>1050000</v>
          </cell>
        </row>
        <row r="8">
          <cell r="G8">
            <v>950000</v>
          </cell>
        </row>
        <row r="9">
          <cell r="G9">
            <v>300000</v>
          </cell>
        </row>
        <row r="10">
          <cell r="G10">
            <v>400000</v>
          </cell>
        </row>
        <row r="11">
          <cell r="G11">
            <v>597950</v>
          </cell>
        </row>
        <row r="23">
          <cell r="F23">
            <v>3297950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true"/>
  </sheetPr>
  <dimension ref="A1:T346"/>
  <sheetViews>
    <sheetView showGridLines="0" showZeros="0" tabSelected="1" view="pageBreakPreview" zoomScaleNormal="100" zoomScaleSheetLayoutView="100" workbookViewId="0">
      <selection activeCell="D12" sqref="D11:D12"/>
    </sheetView>
  </sheetViews>
  <sheetFormatPr defaultColWidth="9" defaultRowHeight="18" customHeight="true"/>
  <cols>
    <col min="1" max="1" width="7.5" style="518" customWidth="true"/>
    <col min="2" max="2" width="29" style="518" customWidth="true"/>
    <col min="3" max="3" width="17.875" style="518" customWidth="true"/>
    <col min="4" max="4" width="17.625" style="522" customWidth="true"/>
    <col min="5" max="5" width="15.25" style="521" customWidth="true"/>
    <col min="6" max="6" width="14.125" style="523" customWidth="true"/>
    <col min="7" max="7" width="6" style="518" customWidth="true"/>
    <col min="8" max="8" width="9.75" style="518" customWidth="true"/>
    <col min="9" max="9" width="14.625" style="518" customWidth="true"/>
    <col min="10" max="10" width="22.75" style="518" customWidth="true"/>
    <col min="11" max="11" width="11.875" style="518"/>
    <col min="12" max="12" width="9.375" style="518" customWidth="true"/>
    <col min="13" max="13" width="16.625" style="518" customWidth="true"/>
    <col min="14" max="14" width="15.25" style="518" customWidth="true"/>
    <col min="15" max="15" width="11.75" style="518" customWidth="true"/>
    <col min="16" max="19" width="14.375" style="518"/>
    <col min="20" max="20" width="10.625" style="518"/>
    <col min="21" max="16384" width="9" style="518"/>
  </cols>
  <sheetData>
    <row r="1" s="516" customFormat="true" ht="27" customHeight="true" spans="1:10">
      <c r="A1" s="524" t="s">
        <v>0</v>
      </c>
      <c r="B1" s="524"/>
      <c r="C1" s="524"/>
      <c r="D1" s="524"/>
      <c r="E1" s="524"/>
      <c r="F1" s="524"/>
      <c r="G1" s="524"/>
      <c r="H1" s="524"/>
      <c r="I1" s="515"/>
      <c r="J1" s="515"/>
    </row>
    <row r="2" s="516" customFormat="true" customHeight="true" spans="1:7">
      <c r="A2" s="674" t="s">
        <v>1</v>
      </c>
      <c r="B2" s="525"/>
      <c r="C2" s="522"/>
      <c r="D2" s="522"/>
      <c r="E2" s="541"/>
      <c r="F2" s="542"/>
      <c r="G2" s="522"/>
    </row>
    <row r="3" s="516" customFormat="true" ht="20.25" customHeight="true" spans="1:17">
      <c r="A3" s="526" t="s">
        <v>2</v>
      </c>
      <c r="B3" s="527" t="s">
        <v>3</v>
      </c>
      <c r="C3" s="528" t="s">
        <v>4</v>
      </c>
      <c r="D3" s="528" t="s">
        <v>5</v>
      </c>
      <c r="E3" s="543" t="s">
        <v>6</v>
      </c>
      <c r="F3" s="544" t="s">
        <v>7</v>
      </c>
      <c r="G3" s="527" t="s">
        <v>8</v>
      </c>
      <c r="H3" s="527"/>
      <c r="I3" s="527"/>
      <c r="J3" s="552" t="s">
        <v>9</v>
      </c>
      <c r="K3" s="516" t="s">
        <v>10</v>
      </c>
      <c r="L3" s="516" t="s">
        <v>11</v>
      </c>
      <c r="M3" s="516" t="s">
        <v>12</v>
      </c>
      <c r="N3" s="516" t="s">
        <v>13</v>
      </c>
      <c r="O3" s="516" t="s">
        <v>14</v>
      </c>
      <c r="P3" s="516" t="s">
        <v>15</v>
      </c>
      <c r="Q3" s="516" t="s">
        <v>16</v>
      </c>
    </row>
    <row r="4" s="516" customFormat="true" ht="25.5" customHeight="true" spans="1:17">
      <c r="A4" s="526"/>
      <c r="B4" s="527"/>
      <c r="C4" s="528"/>
      <c r="D4" s="528"/>
      <c r="E4" s="543"/>
      <c r="F4" s="544"/>
      <c r="G4" s="528" t="s">
        <v>17</v>
      </c>
      <c r="H4" s="528" t="s">
        <v>18</v>
      </c>
      <c r="I4" s="528" t="s">
        <v>19</v>
      </c>
      <c r="J4" s="552"/>
      <c r="N4" s="516" t="e">
        <f>SUM(#REF!,#REF!,#REF!)</f>
        <v>#REF!</v>
      </c>
      <c r="O4" s="558" t="e">
        <f>+#REF!/N4*10000</f>
        <v>#REF!</v>
      </c>
      <c r="P4" s="516" t="e">
        <f>+#REF!/1000</f>
        <v>#REF!</v>
      </c>
      <c r="Q4" s="558" t="e">
        <f>+#REF!/P4*10000</f>
        <v>#REF!</v>
      </c>
    </row>
    <row r="5" s="516" customFormat="true" customHeight="true" spans="1:11">
      <c r="A5" s="526"/>
      <c r="B5" s="529" t="s">
        <v>20</v>
      </c>
      <c r="C5" s="530">
        <v>125802.76</v>
      </c>
      <c r="D5" s="531">
        <f>D6+D22+D47+D61+D93+D140+D143</f>
        <v>123575.93</v>
      </c>
      <c r="E5" s="545">
        <f>D5-C5</f>
        <v>-2226.83</v>
      </c>
      <c r="F5" s="546">
        <f>E5/C5</f>
        <v>-0.0177009629995399</v>
      </c>
      <c r="G5" s="547"/>
      <c r="H5" s="548"/>
      <c r="I5" s="547"/>
      <c r="J5" s="553" t="s">
        <v>21</v>
      </c>
      <c r="K5" s="554" t="s">
        <v>22</v>
      </c>
    </row>
    <row r="6" s="517" customFormat="true" customHeight="true" spans="1:12">
      <c r="A6" s="532" t="s">
        <v>23</v>
      </c>
      <c r="B6" s="533" t="s">
        <v>24</v>
      </c>
      <c r="C6" s="534">
        <v>36742.49</v>
      </c>
      <c r="D6" s="531">
        <f>SUM(D7:D20)</f>
        <v>36007.39</v>
      </c>
      <c r="E6" s="545">
        <f t="shared" ref="E6:E69" si="0">D6-C6</f>
        <v>-735.099999999991</v>
      </c>
      <c r="F6" s="546">
        <f t="shared" ref="F6:F69" si="1">E6/C6</f>
        <v>-0.0200068095548231</v>
      </c>
      <c r="G6" s="537"/>
      <c r="H6" s="549"/>
      <c r="I6" s="549"/>
      <c r="J6" s="555"/>
      <c r="K6" s="556"/>
      <c r="L6" s="557"/>
    </row>
    <row r="7" s="517" customFormat="true" customHeight="true" spans="1:12">
      <c r="A7" s="535">
        <v>1</v>
      </c>
      <c r="B7" s="536" t="str">
        <f>上机测算!K9</f>
        <v>给水主管-双管</v>
      </c>
      <c r="C7" s="537">
        <v>25198.38</v>
      </c>
      <c r="D7" s="538">
        <v>24788.55</v>
      </c>
      <c r="E7" s="550">
        <f t="shared" si="0"/>
        <v>-409.830000000002</v>
      </c>
      <c r="F7" s="551">
        <f t="shared" si="1"/>
        <v>-0.0162641407900032</v>
      </c>
      <c r="G7" s="537" t="s">
        <v>25</v>
      </c>
      <c r="H7" s="549">
        <f>23580*2+14632*2+18158*2+0</f>
        <v>112740</v>
      </c>
      <c r="I7" s="549">
        <f>D7*10000/H7</f>
        <v>2198.73602980309</v>
      </c>
      <c r="J7" s="555" t="s">
        <v>26</v>
      </c>
      <c r="K7" s="556">
        <f>上机测算!L9</f>
        <v>257681255.05</v>
      </c>
      <c r="L7" s="557" t="e">
        <f>#REF!-K7/10000</f>
        <v>#REF!</v>
      </c>
    </row>
    <row r="8" s="517" customFormat="true" customHeight="true" spans="1:12">
      <c r="A8" s="535">
        <v>2</v>
      </c>
      <c r="B8" s="536" t="str">
        <f>上机测算!K10</f>
        <v>给水主管-单管</v>
      </c>
      <c r="C8" s="537">
        <v>4556.69</v>
      </c>
      <c r="D8" s="538">
        <v>4522.44</v>
      </c>
      <c r="E8" s="550">
        <f t="shared" si="0"/>
        <v>-34.25</v>
      </c>
      <c r="F8" s="551">
        <f t="shared" si="1"/>
        <v>-0.0075164209107927</v>
      </c>
      <c r="G8" s="537" t="s">
        <v>25</v>
      </c>
      <c r="H8" s="549">
        <v>27442</v>
      </c>
      <c r="I8" s="549">
        <f t="shared" ref="I8:I20" si="2">D8*10000/H8</f>
        <v>1647.99941695212</v>
      </c>
      <c r="J8" s="555"/>
      <c r="K8" s="556">
        <f>上机测算!L10</f>
        <v>43680920.99</v>
      </c>
      <c r="L8" s="557"/>
    </row>
    <row r="9" s="517" customFormat="true" customHeight="true" spans="1:12">
      <c r="A9" s="535">
        <v>3</v>
      </c>
      <c r="B9" s="536" t="str">
        <f>上机测算!K11</f>
        <v>明敷</v>
      </c>
      <c r="C9" s="537">
        <v>750.14</v>
      </c>
      <c r="D9" s="538">
        <v>745.69</v>
      </c>
      <c r="E9" s="550">
        <f t="shared" si="0"/>
        <v>-4.44999999999993</v>
      </c>
      <c r="F9" s="551">
        <f t="shared" si="1"/>
        <v>-0.00593222598448281</v>
      </c>
      <c r="G9" s="537" t="s">
        <v>25</v>
      </c>
      <c r="H9" s="549">
        <f>1980*2</f>
        <v>3960</v>
      </c>
      <c r="I9" s="549">
        <f t="shared" si="2"/>
        <v>1883.05555555556</v>
      </c>
      <c r="J9" s="555" t="s">
        <v>27</v>
      </c>
      <c r="K9" s="556">
        <f>上机测算!L11</f>
        <v>7501285.46</v>
      </c>
      <c r="L9" s="557" t="e">
        <f>#REF!-K9/10000</f>
        <v>#REF!</v>
      </c>
    </row>
    <row r="10" s="517" customFormat="true" customHeight="true" spans="1:12">
      <c r="A10" s="535">
        <v>4</v>
      </c>
      <c r="B10" s="536" t="str">
        <f>上机测算!K12</f>
        <v>拖拉管</v>
      </c>
      <c r="C10" s="537">
        <v>530.83</v>
      </c>
      <c r="D10" s="538">
        <v>504.11</v>
      </c>
      <c r="E10" s="550">
        <f t="shared" si="0"/>
        <v>-26.72</v>
      </c>
      <c r="F10" s="551">
        <f t="shared" si="1"/>
        <v>-0.0503362658478233</v>
      </c>
      <c r="G10" s="537" t="s">
        <v>25</v>
      </c>
      <c r="H10" s="549">
        <f>156*2+150*2+81</f>
        <v>693</v>
      </c>
      <c r="I10" s="549">
        <f t="shared" si="2"/>
        <v>7274.31457431457</v>
      </c>
      <c r="J10" s="555" t="s">
        <v>28</v>
      </c>
      <c r="K10" s="556">
        <f>上机测算!L12</f>
        <v>5270964.02</v>
      </c>
      <c r="L10" s="557" t="e">
        <f>#REF!-K10/10000</f>
        <v>#REF!</v>
      </c>
    </row>
    <row r="11" s="517" customFormat="true" ht="20.25" customHeight="true" spans="1:12">
      <c r="A11" s="535">
        <v>5</v>
      </c>
      <c r="B11" s="536" t="str">
        <f>上机测算!K13</f>
        <v>连通管</v>
      </c>
      <c r="C11" s="537">
        <v>2.16</v>
      </c>
      <c r="D11" s="538">
        <v>1.89</v>
      </c>
      <c r="E11" s="550">
        <f t="shared" si="0"/>
        <v>-0.27</v>
      </c>
      <c r="F11" s="551">
        <f t="shared" si="1"/>
        <v>-0.125</v>
      </c>
      <c r="G11" s="537" t="s">
        <v>25</v>
      </c>
      <c r="H11" s="549">
        <v>12</v>
      </c>
      <c r="I11" s="549">
        <f t="shared" si="2"/>
        <v>1575</v>
      </c>
      <c r="J11" s="555"/>
      <c r="K11" s="556">
        <f>上机测算!L13</f>
        <v>21634.55</v>
      </c>
      <c r="L11" s="557" t="e">
        <f>#REF!-K11/10000</f>
        <v>#REF!</v>
      </c>
    </row>
    <row r="12" s="517" customFormat="true" customHeight="true" spans="1:16">
      <c r="A12" s="535">
        <v>6</v>
      </c>
      <c r="B12" s="536" t="str">
        <f>上机测算!K14</f>
        <v>顶管</v>
      </c>
      <c r="C12" s="537">
        <v>1012.34</v>
      </c>
      <c r="D12" s="538">
        <v>1009.29</v>
      </c>
      <c r="E12" s="550">
        <f t="shared" si="0"/>
        <v>-3.05000000000007</v>
      </c>
      <c r="F12" s="551">
        <f t="shared" si="1"/>
        <v>-0.00301282177924419</v>
      </c>
      <c r="G12" s="537" t="s">
        <v>25</v>
      </c>
      <c r="H12" s="549">
        <v>641</v>
      </c>
      <c r="I12" s="549">
        <f t="shared" si="2"/>
        <v>15745.5538221529</v>
      </c>
      <c r="J12" s="555"/>
      <c r="K12" s="556">
        <f>上机测算!L14</f>
        <v>9979926.89</v>
      </c>
      <c r="L12" s="557" t="e">
        <f>#REF!-K12/10000</f>
        <v>#REF!</v>
      </c>
      <c r="P12" s="517">
        <v>440044.25</v>
      </c>
    </row>
    <row r="13" s="517" customFormat="true" customHeight="true" spans="1:16">
      <c r="A13" s="535">
        <v>7</v>
      </c>
      <c r="B13" s="536" t="str">
        <f>上机测算!K15</f>
        <v>顶管井</v>
      </c>
      <c r="C13" s="537">
        <v>749.93</v>
      </c>
      <c r="D13" s="538">
        <v>745.1</v>
      </c>
      <c r="E13" s="550">
        <f t="shared" si="0"/>
        <v>-4.82999999999993</v>
      </c>
      <c r="F13" s="551">
        <f t="shared" si="1"/>
        <v>-0.00644060112277136</v>
      </c>
      <c r="G13" s="537" t="s">
        <v>29</v>
      </c>
      <c r="H13" s="549">
        <v>14</v>
      </c>
      <c r="I13" s="549">
        <f t="shared" si="2"/>
        <v>532214.285714286</v>
      </c>
      <c r="J13" s="555"/>
      <c r="K13" s="556">
        <f>上机测算!L15</f>
        <v>8707925.23</v>
      </c>
      <c r="L13" s="557" t="e">
        <f>#REF!-K13/10000</f>
        <v>#REF!</v>
      </c>
      <c r="P13" s="517">
        <v>433274.34</v>
      </c>
    </row>
    <row r="14" s="517" customFormat="true" customHeight="true" spans="1:16">
      <c r="A14" s="535">
        <v>8</v>
      </c>
      <c r="B14" s="536" t="str">
        <f>上机测算!K16</f>
        <v>管配件</v>
      </c>
      <c r="C14" s="537">
        <v>213.18</v>
      </c>
      <c r="D14" s="538">
        <v>181.42</v>
      </c>
      <c r="E14" s="550">
        <f t="shared" si="0"/>
        <v>-31.76</v>
      </c>
      <c r="F14" s="551">
        <f t="shared" si="1"/>
        <v>-0.148982080870626</v>
      </c>
      <c r="G14" s="537" t="s">
        <v>30</v>
      </c>
      <c r="H14" s="549">
        <v>736</v>
      </c>
      <c r="I14" s="549">
        <f t="shared" si="2"/>
        <v>2464.94565217391</v>
      </c>
      <c r="J14" s="555"/>
      <c r="K14" s="556">
        <f>上机测算!L16</f>
        <v>2131825.35</v>
      </c>
      <c r="L14" s="557" t="e">
        <f>#REF!-K14/10000</f>
        <v>#REF!</v>
      </c>
      <c r="P14" s="517">
        <v>131760.64</v>
      </c>
    </row>
    <row r="15" s="517" customFormat="true" customHeight="true" spans="1:16">
      <c r="A15" s="535">
        <v>9</v>
      </c>
      <c r="B15" s="536" t="str">
        <f>上机测算!K17</f>
        <v>设备</v>
      </c>
      <c r="C15" s="537">
        <v>160.69</v>
      </c>
      <c r="D15" s="538">
        <v>112.56</v>
      </c>
      <c r="E15" s="550">
        <f t="shared" si="0"/>
        <v>-48.13</v>
      </c>
      <c r="F15" s="551">
        <f t="shared" si="1"/>
        <v>-0.299520816478935</v>
      </c>
      <c r="G15" s="537" t="s">
        <v>30</v>
      </c>
      <c r="H15" s="549">
        <v>97</v>
      </c>
      <c r="I15" s="549">
        <f t="shared" si="2"/>
        <v>11604.1237113402</v>
      </c>
      <c r="J15" s="555"/>
      <c r="K15" s="556">
        <f>上机测算!L17</f>
        <v>1606892.34</v>
      </c>
      <c r="L15" s="557" t="e">
        <f>#REF!-K15/10000</f>
        <v>#REF!</v>
      </c>
      <c r="P15" s="517">
        <v>126270.69</v>
      </c>
    </row>
    <row r="16" s="517" customFormat="true" customHeight="true" spans="1:12">
      <c r="A16" s="535">
        <v>10</v>
      </c>
      <c r="B16" s="536" t="str">
        <f>上机测算!K18</f>
        <v>阀门井</v>
      </c>
      <c r="C16" s="537">
        <v>699.87</v>
      </c>
      <c r="D16" s="538">
        <v>694.48</v>
      </c>
      <c r="E16" s="550">
        <f t="shared" si="0"/>
        <v>-5.38999999999999</v>
      </c>
      <c r="F16" s="551">
        <f t="shared" si="1"/>
        <v>-0.00770143026562074</v>
      </c>
      <c r="G16" s="537" t="s">
        <v>29</v>
      </c>
      <c r="H16" s="549">
        <f>342*2</f>
        <v>684</v>
      </c>
      <c r="I16" s="549">
        <f t="shared" si="2"/>
        <v>10153.216374269</v>
      </c>
      <c r="J16" s="555"/>
      <c r="K16" s="556">
        <f>上机测算!L18</f>
        <v>5849450.68</v>
      </c>
      <c r="L16" s="557" t="e">
        <f>#REF!-K16/10000</f>
        <v>#REF!</v>
      </c>
    </row>
    <row r="17" s="517" customFormat="true" customHeight="true" spans="1:12">
      <c r="A17" s="535">
        <v>11</v>
      </c>
      <c r="B17" s="536" t="str">
        <f>上机测算!K19</f>
        <v>路面破除及恢复</v>
      </c>
      <c r="C17" s="537">
        <v>1752.8</v>
      </c>
      <c r="D17" s="538">
        <v>1752.23</v>
      </c>
      <c r="E17" s="550">
        <f t="shared" si="0"/>
        <v>-0.569999999999936</v>
      </c>
      <c r="F17" s="551">
        <f t="shared" si="1"/>
        <v>-0.000325193975353683</v>
      </c>
      <c r="G17" s="537" t="s">
        <v>25</v>
      </c>
      <c r="H17" s="549">
        <v>36692</v>
      </c>
      <c r="I17" s="549">
        <f t="shared" si="2"/>
        <v>477.550964787965</v>
      </c>
      <c r="J17" s="555"/>
      <c r="K17" s="556">
        <f>上机测算!L19</f>
        <v>17527988.84</v>
      </c>
      <c r="L17" s="557" t="e">
        <f>#REF!-K17/10000</f>
        <v>#REF!</v>
      </c>
    </row>
    <row r="18" s="517" customFormat="true" customHeight="true" spans="1:12">
      <c r="A18" s="535">
        <v>12</v>
      </c>
      <c r="B18" s="536" t="str">
        <f>上机测算!K20</f>
        <v>管道支墩</v>
      </c>
      <c r="C18" s="537">
        <v>417.21</v>
      </c>
      <c r="D18" s="538">
        <v>416.15</v>
      </c>
      <c r="E18" s="550">
        <f t="shared" si="0"/>
        <v>-1.06</v>
      </c>
      <c r="F18" s="551">
        <f t="shared" si="1"/>
        <v>-0.00254068694422474</v>
      </c>
      <c r="G18" s="537" t="s">
        <v>31</v>
      </c>
      <c r="H18" s="549">
        <v>1909</v>
      </c>
      <c r="I18" s="549">
        <f t="shared" si="2"/>
        <v>2179.9371398638</v>
      </c>
      <c r="J18" s="555"/>
      <c r="K18" s="556">
        <f>上机测算!L20</f>
        <v>3970093.07</v>
      </c>
      <c r="L18" s="557" t="e">
        <f>#REF!-K18/10000</f>
        <v>#REF!</v>
      </c>
    </row>
    <row r="19" s="517" customFormat="true" customHeight="true" spans="1:12">
      <c r="A19" s="535">
        <v>13</v>
      </c>
      <c r="B19" s="536" t="str">
        <f>上机测算!K21</f>
        <v>临时便道</v>
      </c>
      <c r="C19" s="537">
        <v>97.52</v>
      </c>
      <c r="D19" s="538">
        <v>97.25</v>
      </c>
      <c r="E19" s="550">
        <f t="shared" si="0"/>
        <v>-0.269999999999996</v>
      </c>
      <c r="F19" s="551">
        <f t="shared" si="1"/>
        <v>-0.00276866283839208</v>
      </c>
      <c r="G19" s="537" t="s">
        <v>32</v>
      </c>
      <c r="H19" s="549">
        <v>18837</v>
      </c>
      <c r="I19" s="549">
        <f t="shared" si="2"/>
        <v>51.6271168445082</v>
      </c>
      <c r="J19" s="555" t="s">
        <v>33</v>
      </c>
      <c r="K19" s="556">
        <f>上机测算!L21</f>
        <v>975231.46</v>
      </c>
      <c r="L19" s="557" t="e">
        <f>#REF!-K19/10000</f>
        <v>#REF!</v>
      </c>
    </row>
    <row r="20" s="517" customFormat="true" customHeight="true" spans="1:12">
      <c r="A20" s="535">
        <v>14</v>
      </c>
      <c r="B20" s="536" t="str">
        <f>上机测算!K22</f>
        <v>绿化破除与修复</v>
      </c>
      <c r="C20" s="537">
        <v>600.73</v>
      </c>
      <c r="D20" s="538">
        <v>436.23</v>
      </c>
      <c r="E20" s="550">
        <f t="shared" si="0"/>
        <v>-164.5</v>
      </c>
      <c r="F20" s="551">
        <f t="shared" si="1"/>
        <v>-0.273833502571871</v>
      </c>
      <c r="G20" s="537" t="s">
        <v>32</v>
      </c>
      <c r="H20" s="549">
        <v>26681</v>
      </c>
      <c r="I20" s="549">
        <f t="shared" si="2"/>
        <v>163.498369626326</v>
      </c>
      <c r="J20" s="555"/>
      <c r="K20" s="556">
        <f>上机测算!L22</f>
        <v>6007324.82</v>
      </c>
      <c r="L20" s="557"/>
    </row>
    <row r="21" s="517" customFormat="true" customHeight="true" spans="1:12">
      <c r="A21" s="535"/>
      <c r="B21" s="536"/>
      <c r="C21" s="539"/>
      <c r="D21" s="537"/>
      <c r="E21" s="545">
        <f t="shared" si="0"/>
        <v>0</v>
      </c>
      <c r="F21" s="551"/>
      <c r="G21" s="537"/>
      <c r="H21" s="549"/>
      <c r="I21" s="549"/>
      <c r="J21" s="555"/>
      <c r="K21" s="556"/>
      <c r="L21" s="557" t="e">
        <f>#REF!-K21/10000</f>
        <v>#REF!</v>
      </c>
    </row>
    <row r="22" s="517" customFormat="true" customHeight="true" spans="1:12">
      <c r="A22" s="532" t="s">
        <v>34</v>
      </c>
      <c r="B22" s="533" t="s">
        <v>35</v>
      </c>
      <c r="C22" s="534">
        <v>39010.47</v>
      </c>
      <c r="D22" s="540">
        <f>SUM(D23:D45)</f>
        <v>38116.05</v>
      </c>
      <c r="E22" s="545">
        <f t="shared" si="0"/>
        <v>-894.420000000013</v>
      </c>
      <c r="F22" s="546">
        <f t="shared" si="1"/>
        <v>-0.0229276909506605</v>
      </c>
      <c r="G22" s="537"/>
      <c r="H22" s="549"/>
      <c r="I22" s="549"/>
      <c r="J22" s="555"/>
      <c r="K22" s="556"/>
      <c r="L22" s="557" t="e">
        <f>#REF!-K22/10000</f>
        <v>#REF!</v>
      </c>
    </row>
    <row r="23" s="517" customFormat="true" customHeight="true" spans="1:12">
      <c r="A23" s="535">
        <v>1</v>
      </c>
      <c r="B23" s="536" t="str">
        <f>上机测算!K24</f>
        <v>次干管及支管-大成镇</v>
      </c>
      <c r="C23" s="537">
        <v>12600.95</v>
      </c>
      <c r="D23" s="538">
        <v>12428.35</v>
      </c>
      <c r="E23" s="550">
        <f t="shared" si="0"/>
        <v>-172.6</v>
      </c>
      <c r="F23" s="551">
        <f t="shared" si="1"/>
        <v>-0.0136973799594475</v>
      </c>
      <c r="G23" s="537"/>
      <c r="H23" s="549"/>
      <c r="I23" s="549"/>
      <c r="J23" s="555"/>
      <c r="K23" s="556">
        <f>上机测算!L24</f>
        <v>117880964.03</v>
      </c>
      <c r="L23" s="557" t="e">
        <f>#REF!-K23/10000</f>
        <v>#REF!</v>
      </c>
    </row>
    <row r="24" s="517" customFormat="true" customHeight="true" spans="1:12">
      <c r="A24" s="535">
        <v>2</v>
      </c>
      <c r="B24" s="536" t="str">
        <f>上机测算!K25</f>
        <v>拖拉管-大成镇</v>
      </c>
      <c r="C24" s="537">
        <v>39.2</v>
      </c>
      <c r="D24" s="538">
        <v>38.69</v>
      </c>
      <c r="E24" s="550">
        <f t="shared" si="0"/>
        <v>-0.510000000000005</v>
      </c>
      <c r="F24" s="551">
        <f t="shared" si="1"/>
        <v>-0.0130102040816328</v>
      </c>
      <c r="G24" s="537"/>
      <c r="H24" s="549"/>
      <c r="I24" s="549"/>
      <c r="J24" s="555"/>
      <c r="K24" s="556">
        <f>上机测算!L25</f>
        <v>392036.76</v>
      </c>
      <c r="L24" s="557"/>
    </row>
    <row r="25" s="517" customFormat="true" customHeight="true" spans="1:12">
      <c r="A25" s="535">
        <v>3</v>
      </c>
      <c r="B25" s="536" t="str">
        <f>上机测算!K26</f>
        <v>架空管-大成镇</v>
      </c>
      <c r="C25" s="537">
        <v>34.8</v>
      </c>
      <c r="D25" s="538">
        <v>34.28</v>
      </c>
      <c r="E25" s="550">
        <f t="shared" si="0"/>
        <v>-0.519999999999996</v>
      </c>
      <c r="F25" s="551">
        <f t="shared" si="1"/>
        <v>-0.0149425287356321</v>
      </c>
      <c r="G25" s="537"/>
      <c r="H25" s="549"/>
      <c r="I25" s="549"/>
      <c r="J25" s="555"/>
      <c r="K25" s="556">
        <f>上机测算!L26</f>
        <v>541738.04</v>
      </c>
      <c r="L25" s="557"/>
    </row>
    <row r="26" s="517" customFormat="true" customHeight="true" spans="1:12">
      <c r="A26" s="535">
        <v>4</v>
      </c>
      <c r="B26" s="536" t="str">
        <f>上机测算!K27</f>
        <v>阀门井-大成镇</v>
      </c>
      <c r="C26" s="537">
        <v>437.61</v>
      </c>
      <c r="D26" s="538">
        <v>434.31</v>
      </c>
      <c r="E26" s="550">
        <f t="shared" si="0"/>
        <v>-3.30000000000001</v>
      </c>
      <c r="F26" s="551">
        <f t="shared" si="1"/>
        <v>-0.00754096112977311</v>
      </c>
      <c r="G26" s="537"/>
      <c r="H26" s="549"/>
      <c r="I26" s="549"/>
      <c r="J26" s="555"/>
      <c r="K26" s="556">
        <f>上机测算!L27</f>
        <v>4362022.04</v>
      </c>
      <c r="L26" s="557"/>
    </row>
    <row r="27" s="517" customFormat="true" customHeight="true" spans="1:12">
      <c r="A27" s="535">
        <v>5</v>
      </c>
      <c r="B27" s="536" t="str">
        <f>上机测算!K28</f>
        <v>阀门管及配件-大成镇</v>
      </c>
      <c r="C27" s="537">
        <v>873.83</v>
      </c>
      <c r="D27" s="538">
        <v>870.98</v>
      </c>
      <c r="E27" s="550">
        <f t="shared" si="0"/>
        <v>-2.85000000000002</v>
      </c>
      <c r="F27" s="551">
        <f t="shared" si="1"/>
        <v>-0.00326150395385833</v>
      </c>
      <c r="G27" s="537"/>
      <c r="H27" s="549"/>
      <c r="I27" s="549"/>
      <c r="J27" s="555"/>
      <c r="K27" s="556">
        <f>上机测算!L28</f>
        <v>8445853.49</v>
      </c>
      <c r="L27" s="557"/>
    </row>
    <row r="28" s="517" customFormat="true" customHeight="true" spans="1:12">
      <c r="A28" s="535">
        <v>6</v>
      </c>
      <c r="B28" s="536" t="str">
        <f>上机测算!K29</f>
        <v>路面破除及恢复-大成镇</v>
      </c>
      <c r="C28" s="537">
        <v>1026.13</v>
      </c>
      <c r="D28" s="538">
        <v>1025.88</v>
      </c>
      <c r="E28" s="550">
        <f t="shared" si="0"/>
        <v>-0.25</v>
      </c>
      <c r="F28" s="551">
        <f t="shared" si="1"/>
        <v>-0.000243633847563174</v>
      </c>
      <c r="G28" s="537"/>
      <c r="H28" s="549"/>
      <c r="I28" s="549"/>
      <c r="J28" s="555"/>
      <c r="K28" s="556">
        <f>上机测算!L29</f>
        <v>10317828.77</v>
      </c>
      <c r="L28" s="557"/>
    </row>
    <row r="29" s="517" customFormat="true" customHeight="true" spans="1:12">
      <c r="A29" s="535">
        <v>7</v>
      </c>
      <c r="B29" s="536" t="str">
        <f>上机测算!K30</f>
        <v>绿化破除与修复-大成</v>
      </c>
      <c r="C29" s="537">
        <v>705.38</v>
      </c>
      <c r="D29" s="538">
        <v>512.23</v>
      </c>
      <c r="E29" s="550">
        <f t="shared" si="0"/>
        <v>-193.15</v>
      </c>
      <c r="F29" s="551">
        <f t="shared" si="1"/>
        <v>-0.27382403810712</v>
      </c>
      <c r="G29" s="537"/>
      <c r="H29" s="549"/>
      <c r="I29" s="549"/>
      <c r="J29" s="555"/>
      <c r="K29" s="556">
        <f>上机测算!L30</f>
        <v>7053839.03</v>
      </c>
      <c r="L29" s="557"/>
    </row>
    <row r="30" s="517" customFormat="true" customHeight="true" spans="1:12">
      <c r="A30" s="535">
        <v>8</v>
      </c>
      <c r="B30" s="536" t="str">
        <f>上机测算!K31</f>
        <v>管道支墩-大成镇</v>
      </c>
      <c r="C30" s="537">
        <v>603.64</v>
      </c>
      <c r="D30" s="538">
        <v>601.66</v>
      </c>
      <c r="E30" s="550">
        <f t="shared" si="0"/>
        <v>-1.98000000000002</v>
      </c>
      <c r="F30" s="551">
        <f t="shared" si="1"/>
        <v>-0.00328010072228484</v>
      </c>
      <c r="G30" s="537"/>
      <c r="H30" s="549"/>
      <c r="I30" s="549"/>
      <c r="J30" s="555"/>
      <c r="K30" s="556">
        <f>上机测算!L31</f>
        <v>5744052.94</v>
      </c>
      <c r="L30" s="557"/>
    </row>
    <row r="31" s="517" customFormat="true" customHeight="true" spans="1:12">
      <c r="A31" s="535">
        <v>9</v>
      </c>
      <c r="B31" s="536" t="str">
        <f>上机测算!K32</f>
        <v>次干管及支管-雅星镇</v>
      </c>
      <c r="C31" s="537">
        <v>15377.4</v>
      </c>
      <c r="D31" s="538">
        <v>15190.29</v>
      </c>
      <c r="E31" s="550">
        <f t="shared" si="0"/>
        <v>-187.109999999999</v>
      </c>
      <c r="F31" s="551">
        <f t="shared" si="1"/>
        <v>-0.0121678567248039</v>
      </c>
      <c r="G31" s="537"/>
      <c r="H31" s="549"/>
      <c r="I31" s="549"/>
      <c r="J31" s="555"/>
      <c r="K31" s="556">
        <f>上机测算!L32</f>
        <v>140310132.03</v>
      </c>
      <c r="L31" s="557"/>
    </row>
    <row r="32" s="517" customFormat="true" customHeight="true" spans="1:12">
      <c r="A32" s="535">
        <v>10</v>
      </c>
      <c r="B32" s="536" t="str">
        <f>上机测算!K33</f>
        <v>拖拉管-雅星镇</v>
      </c>
      <c r="C32" s="537">
        <v>9.37</v>
      </c>
      <c r="D32" s="538">
        <v>8.57</v>
      </c>
      <c r="E32" s="550">
        <f t="shared" si="0"/>
        <v>-0.799999999999999</v>
      </c>
      <c r="F32" s="551">
        <f t="shared" si="1"/>
        <v>-0.0853788687299892</v>
      </c>
      <c r="G32" s="537"/>
      <c r="H32" s="549"/>
      <c r="I32" s="549"/>
      <c r="J32" s="555"/>
      <c r="K32" s="556">
        <f>上机测算!L33</f>
        <v>93665.83</v>
      </c>
      <c r="L32" s="557"/>
    </row>
    <row r="33" s="517" customFormat="true" customHeight="true" spans="1:12">
      <c r="A33" s="535">
        <v>11</v>
      </c>
      <c r="B33" s="536" t="str">
        <f>上机测算!K34</f>
        <v>架空管-雅星镇</v>
      </c>
      <c r="C33" s="537">
        <v>35.69</v>
      </c>
      <c r="D33" s="538">
        <v>11.51</v>
      </c>
      <c r="E33" s="550">
        <f t="shared" si="0"/>
        <v>-24.18</v>
      </c>
      <c r="F33" s="551">
        <f t="shared" si="1"/>
        <v>-0.677500700476324</v>
      </c>
      <c r="G33" s="537"/>
      <c r="H33" s="549"/>
      <c r="I33" s="549"/>
      <c r="J33" s="555"/>
      <c r="K33" s="556">
        <f>上机测算!L34</f>
        <v>435009.06</v>
      </c>
      <c r="L33" s="557"/>
    </row>
    <row r="34" s="517" customFormat="true" customHeight="true" spans="1:12">
      <c r="A34" s="535">
        <v>12</v>
      </c>
      <c r="B34" s="536" t="str">
        <f>上机测算!K35</f>
        <v>阀门井-雅星镇</v>
      </c>
      <c r="C34" s="537">
        <v>532.24</v>
      </c>
      <c r="D34" s="538">
        <v>530.4</v>
      </c>
      <c r="E34" s="550">
        <f t="shared" si="0"/>
        <v>-1.84000000000003</v>
      </c>
      <c r="F34" s="551">
        <f t="shared" si="1"/>
        <v>-0.0034570870284083</v>
      </c>
      <c r="G34" s="537"/>
      <c r="H34" s="549"/>
      <c r="I34" s="549"/>
      <c r="J34" s="555"/>
      <c r="K34" s="556">
        <f>上机测算!L35</f>
        <v>5256709.48</v>
      </c>
      <c r="L34" s="557"/>
    </row>
    <row r="35" s="517" customFormat="true" customHeight="true" spans="1:12">
      <c r="A35" s="535">
        <v>13</v>
      </c>
      <c r="B35" s="536" t="str">
        <f>上机测算!K36</f>
        <v>阀门管及配件-雅星镇</v>
      </c>
      <c r="C35" s="537">
        <v>966.87</v>
      </c>
      <c r="D35" s="538">
        <v>963.6</v>
      </c>
      <c r="E35" s="550">
        <f t="shared" si="0"/>
        <v>-3.26999999999998</v>
      </c>
      <c r="F35" s="551">
        <f t="shared" si="1"/>
        <v>-0.0033820472245493</v>
      </c>
      <c r="G35" s="537"/>
      <c r="H35" s="549"/>
      <c r="I35" s="549"/>
      <c r="J35" s="555"/>
      <c r="K35" s="556">
        <f>上机测算!L36</f>
        <v>9366978.08</v>
      </c>
      <c r="L35" s="557"/>
    </row>
    <row r="36" s="517" customFormat="true" customHeight="true" spans="1:12">
      <c r="A36" s="535">
        <v>14</v>
      </c>
      <c r="B36" s="536" t="str">
        <f>上机测算!K37</f>
        <v>路面破除及恢复-雅星镇</v>
      </c>
      <c r="C36" s="537">
        <v>821.52</v>
      </c>
      <c r="D36" s="538">
        <v>820.47</v>
      </c>
      <c r="E36" s="550">
        <f t="shared" si="0"/>
        <v>-1.04999999999995</v>
      </c>
      <c r="F36" s="551">
        <f t="shared" si="1"/>
        <v>-0.0012781186094069</v>
      </c>
      <c r="G36" s="537"/>
      <c r="H36" s="549"/>
      <c r="I36" s="549"/>
      <c r="J36" s="555"/>
      <c r="K36" s="556">
        <f>上机测算!L37</f>
        <v>8298424.58</v>
      </c>
      <c r="L36" s="557"/>
    </row>
    <row r="37" s="517" customFormat="true" customHeight="true" spans="1:12">
      <c r="A37" s="535">
        <v>15</v>
      </c>
      <c r="B37" s="536" t="str">
        <f>上机测算!K38</f>
        <v>绿化破除与修复-雅星</v>
      </c>
      <c r="C37" s="537">
        <v>750.89</v>
      </c>
      <c r="D37" s="538">
        <v>545.27</v>
      </c>
      <c r="E37" s="550">
        <f t="shared" si="0"/>
        <v>-205.62</v>
      </c>
      <c r="F37" s="551">
        <f t="shared" si="1"/>
        <v>-0.273835049075098</v>
      </c>
      <c r="G37" s="537"/>
      <c r="H37" s="549"/>
      <c r="I37" s="549"/>
      <c r="J37" s="555"/>
      <c r="K37" s="556">
        <f>上机测算!L38</f>
        <v>7508874.57</v>
      </c>
      <c r="L37" s="557"/>
    </row>
    <row r="38" s="517" customFormat="true" customHeight="true" spans="1:12">
      <c r="A38" s="535">
        <v>16</v>
      </c>
      <c r="B38" s="536" t="str">
        <f>上机测算!K39</f>
        <v>管道支墩-雅星镇</v>
      </c>
      <c r="C38" s="537">
        <v>622.87</v>
      </c>
      <c r="D38" s="538">
        <v>616.92</v>
      </c>
      <c r="E38" s="550">
        <f t="shared" si="0"/>
        <v>-5.95000000000005</v>
      </c>
      <c r="F38" s="551">
        <f t="shared" si="1"/>
        <v>-0.00955255510780748</v>
      </c>
      <c r="G38" s="537"/>
      <c r="H38" s="549"/>
      <c r="I38" s="549"/>
      <c r="J38" s="555"/>
      <c r="K38" s="556">
        <f>上机测算!L39</f>
        <v>5927064.07</v>
      </c>
      <c r="L38" s="557"/>
    </row>
    <row r="39" s="517" customFormat="true" customHeight="true" spans="1:12">
      <c r="A39" s="535">
        <v>17</v>
      </c>
      <c r="B39" s="536" t="str">
        <f>上机测算!K40</f>
        <v>次干管及支管-海头镇</v>
      </c>
      <c r="C39" s="537">
        <v>2838.23</v>
      </c>
      <c r="D39" s="538">
        <v>2792.06</v>
      </c>
      <c r="E39" s="550">
        <f t="shared" si="0"/>
        <v>-46.1700000000001</v>
      </c>
      <c r="F39" s="551">
        <f t="shared" si="1"/>
        <v>-0.0162671806019949</v>
      </c>
      <c r="G39" s="537"/>
      <c r="H39" s="549"/>
      <c r="I39" s="549"/>
      <c r="J39" s="555"/>
      <c r="K39" s="556">
        <f>上机测算!L40</f>
        <v>25897094.15</v>
      </c>
      <c r="L39" s="557"/>
    </row>
    <row r="40" s="517" customFormat="true" customHeight="true" spans="1:12">
      <c r="A40" s="535">
        <v>18</v>
      </c>
      <c r="B40" s="536" t="str">
        <f>上机测算!K41</f>
        <v>架空管-海头镇</v>
      </c>
      <c r="C40" s="537">
        <v>26.1</v>
      </c>
      <c r="D40" s="538">
        <v>25.1</v>
      </c>
      <c r="E40" s="550">
        <f t="shared" si="0"/>
        <v>-1</v>
      </c>
      <c r="F40" s="551">
        <f t="shared" si="1"/>
        <v>-0.0383141762452107</v>
      </c>
      <c r="G40" s="537"/>
      <c r="H40" s="549"/>
      <c r="I40" s="549"/>
      <c r="J40" s="555"/>
      <c r="K40" s="556">
        <f>上机测算!L41</f>
        <v>270236.58</v>
      </c>
      <c r="L40" s="557"/>
    </row>
    <row r="41" s="517" customFormat="true" customHeight="true" spans="1:12">
      <c r="A41" s="535">
        <v>19</v>
      </c>
      <c r="B41" s="536" t="str">
        <f>上机测算!K42</f>
        <v>阀门管及配件-海头镇</v>
      </c>
      <c r="C41" s="537">
        <v>177.37</v>
      </c>
      <c r="D41" s="538">
        <v>176.52</v>
      </c>
      <c r="E41" s="550">
        <f t="shared" si="0"/>
        <v>-0.849999999999994</v>
      </c>
      <c r="F41" s="551">
        <f t="shared" si="1"/>
        <v>-0.00479224220555897</v>
      </c>
      <c r="G41" s="537"/>
      <c r="H41" s="549"/>
      <c r="I41" s="549"/>
      <c r="J41" s="555"/>
      <c r="K41" s="556">
        <f>上机测算!L42</f>
        <v>1719304.04</v>
      </c>
      <c r="L41" s="557"/>
    </row>
    <row r="42" s="517" customFormat="true" customHeight="true" spans="1:12">
      <c r="A42" s="535">
        <v>20</v>
      </c>
      <c r="B42" s="536" t="str">
        <f>上机测算!K43</f>
        <v>阀门井-海头镇</v>
      </c>
      <c r="C42" s="537">
        <v>93.72</v>
      </c>
      <c r="D42" s="538">
        <v>91.89</v>
      </c>
      <c r="E42" s="550">
        <f t="shared" si="0"/>
        <v>-1.83</v>
      </c>
      <c r="F42" s="551">
        <f t="shared" si="1"/>
        <v>-0.0195262483994878</v>
      </c>
      <c r="G42" s="537"/>
      <c r="H42" s="549"/>
      <c r="I42" s="549"/>
      <c r="J42" s="555"/>
      <c r="K42" s="556">
        <f>上机测算!L43</f>
        <v>925566.08</v>
      </c>
      <c r="L42" s="557"/>
    </row>
    <row r="43" s="517" customFormat="true" customHeight="true" spans="1:12">
      <c r="A43" s="535">
        <v>21</v>
      </c>
      <c r="B43" s="536" t="str">
        <f>上机测算!K44</f>
        <v>路面破除及恢复-海头镇</v>
      </c>
      <c r="C43" s="537">
        <v>185.55</v>
      </c>
      <c r="D43" s="538">
        <v>185.12</v>
      </c>
      <c r="E43" s="550">
        <f t="shared" si="0"/>
        <v>-0.430000000000007</v>
      </c>
      <c r="F43" s="551">
        <f t="shared" si="1"/>
        <v>-0.00231743465373218</v>
      </c>
      <c r="G43" s="537"/>
      <c r="H43" s="549"/>
      <c r="I43" s="549"/>
      <c r="J43" s="555"/>
      <c r="K43" s="556">
        <f>上机测算!L44</f>
        <v>2021804.5</v>
      </c>
      <c r="L43" s="557"/>
    </row>
    <row r="44" s="517" customFormat="true" customHeight="true" spans="1:12">
      <c r="A44" s="535">
        <v>22</v>
      </c>
      <c r="B44" s="536" t="str">
        <f>上机测算!K45</f>
        <v>绿化破除与修复-海头</v>
      </c>
      <c r="C44" s="537">
        <v>138.76</v>
      </c>
      <c r="D44" s="538">
        <v>100.77</v>
      </c>
      <c r="E44" s="550">
        <f t="shared" si="0"/>
        <v>-37.99</v>
      </c>
      <c r="F44" s="551">
        <f t="shared" si="1"/>
        <v>-0.273782069760738</v>
      </c>
      <c r="G44" s="537"/>
      <c r="H44" s="549"/>
      <c r="I44" s="549"/>
      <c r="J44" s="555"/>
      <c r="K44" s="556">
        <f>上机测算!L45</f>
        <v>1387622</v>
      </c>
      <c r="L44" s="557"/>
    </row>
    <row r="45" s="517" customFormat="true" customHeight="true" spans="1:12">
      <c r="A45" s="535">
        <v>23</v>
      </c>
      <c r="B45" s="536" t="str">
        <f>上机测算!K46</f>
        <v>管道支墩-大海头镇</v>
      </c>
      <c r="C45" s="537">
        <v>112.34</v>
      </c>
      <c r="D45" s="538">
        <v>111.18</v>
      </c>
      <c r="E45" s="550">
        <f t="shared" si="0"/>
        <v>-1.16</v>
      </c>
      <c r="F45" s="551">
        <f t="shared" si="1"/>
        <v>-0.0103257966886238</v>
      </c>
      <c r="G45" s="537"/>
      <c r="H45" s="549"/>
      <c r="I45" s="549"/>
      <c r="J45" s="555"/>
      <c r="K45" s="556">
        <f>上机测算!L46</f>
        <v>1068951.21</v>
      </c>
      <c r="L45" s="557"/>
    </row>
    <row r="46" s="517" customFormat="true" customHeight="true" spans="1:12">
      <c r="A46" s="535"/>
      <c r="B46" s="536"/>
      <c r="C46" s="539"/>
      <c r="D46" s="537"/>
      <c r="E46" s="545">
        <f t="shared" si="0"/>
        <v>0</v>
      </c>
      <c r="F46" s="551"/>
      <c r="G46" s="537"/>
      <c r="H46" s="549"/>
      <c r="I46" s="549"/>
      <c r="J46" s="555"/>
      <c r="K46" s="556"/>
      <c r="L46" s="557"/>
    </row>
    <row r="47" s="517" customFormat="true" customHeight="true" spans="1:12">
      <c r="A47" s="532" t="s">
        <v>36</v>
      </c>
      <c r="B47" s="533" t="s">
        <v>37</v>
      </c>
      <c r="C47" s="534">
        <f>SUM(C48:C59)</f>
        <v>39201.6</v>
      </c>
      <c r="D47" s="540">
        <f>SUM(D48:D59)</f>
        <v>39007.77</v>
      </c>
      <c r="E47" s="545">
        <f t="shared" si="0"/>
        <v>-193.830000000002</v>
      </c>
      <c r="F47" s="551">
        <f t="shared" si="1"/>
        <v>-0.00494444104322277</v>
      </c>
      <c r="G47" s="537"/>
      <c r="H47" s="549"/>
      <c r="I47" s="549"/>
      <c r="J47" s="555"/>
      <c r="K47" s="556"/>
      <c r="L47" s="557" t="e">
        <f>#REF!-K47/10000</f>
        <v>#REF!</v>
      </c>
    </row>
    <row r="48" s="517" customFormat="true" customHeight="true" spans="1:12">
      <c r="A48" s="535">
        <v>1</v>
      </c>
      <c r="B48" s="536" t="str">
        <f>上机测算!K48</f>
        <v>大成镇村-配水管</v>
      </c>
      <c r="C48" s="537">
        <v>5732.73</v>
      </c>
      <c r="D48" s="538">
        <v>5724.02</v>
      </c>
      <c r="E48" s="550">
        <f t="shared" si="0"/>
        <v>-8.70999999999913</v>
      </c>
      <c r="F48" s="551">
        <f t="shared" si="1"/>
        <v>-0.00151934593117051</v>
      </c>
      <c r="G48" s="537" t="s">
        <v>25</v>
      </c>
      <c r="H48" s="549">
        <f>SUM([3]配水管!$D$4:$D$8)</f>
        <v>343733.137</v>
      </c>
      <c r="I48" s="549">
        <f>D48*10000/H48</f>
        <v>166.525114510563</v>
      </c>
      <c r="J48" s="555"/>
      <c r="K48" s="556">
        <f>上机测算!L48</f>
        <v>59362191.95</v>
      </c>
      <c r="L48" s="557" t="e">
        <f>#REF!-K48/10000</f>
        <v>#REF!</v>
      </c>
    </row>
    <row r="49" s="517" customFormat="true" customHeight="true" spans="1:12">
      <c r="A49" s="535">
        <v>2</v>
      </c>
      <c r="B49" s="536" t="str">
        <f>上机测算!K49</f>
        <v>大成镇村-管配件</v>
      </c>
      <c r="C49" s="537">
        <v>1187.39</v>
      </c>
      <c r="D49" s="538">
        <v>1185.19</v>
      </c>
      <c r="E49" s="550">
        <f t="shared" si="0"/>
        <v>-2.20000000000005</v>
      </c>
      <c r="F49" s="551">
        <f t="shared" si="1"/>
        <v>-0.00185280320703395</v>
      </c>
      <c r="G49" s="537" t="s">
        <v>30</v>
      </c>
      <c r="H49" s="549">
        <v>12008</v>
      </c>
      <c r="I49" s="549">
        <f t="shared" ref="I49:I110" si="3">D49*10000/H49</f>
        <v>987.000333111259</v>
      </c>
      <c r="J49" s="555" t="s">
        <v>38</v>
      </c>
      <c r="K49" s="556">
        <f>上机测算!L49</f>
        <v>11873759.86</v>
      </c>
      <c r="L49" s="557" t="e">
        <f>#REF!-K49/10000</f>
        <v>#REF!</v>
      </c>
    </row>
    <row r="50" s="517" customFormat="true" customHeight="true" spans="1:12">
      <c r="A50" s="535">
        <v>3</v>
      </c>
      <c r="B50" s="536" t="str">
        <f>上机测算!K50</f>
        <v>大成镇村-路面破除及恢复</v>
      </c>
      <c r="C50" s="537">
        <v>3708.12</v>
      </c>
      <c r="D50" s="538">
        <v>3666.43</v>
      </c>
      <c r="E50" s="550">
        <f t="shared" si="0"/>
        <v>-41.6900000000001</v>
      </c>
      <c r="F50" s="551">
        <f t="shared" si="1"/>
        <v>-0.0112428939732263</v>
      </c>
      <c r="G50" s="537" t="s">
        <v>32</v>
      </c>
      <c r="H50" s="549">
        <v>131948</v>
      </c>
      <c r="I50" s="549">
        <f t="shared" si="3"/>
        <v>277.869312153273</v>
      </c>
      <c r="J50" s="555"/>
      <c r="K50" s="556">
        <f>上机测算!L50</f>
        <v>37409661.46</v>
      </c>
      <c r="L50" s="557" t="e">
        <f>#REF!-K50/10000</f>
        <v>#REF!</v>
      </c>
    </row>
    <row r="51" s="517" customFormat="true" customHeight="true" spans="1:12">
      <c r="A51" s="535">
        <v>4</v>
      </c>
      <c r="B51" s="536" t="str">
        <f>上机测算!K51</f>
        <v>雅兴镇村-配水管</v>
      </c>
      <c r="C51" s="537">
        <v>11765.71</v>
      </c>
      <c r="D51" s="538">
        <v>11757.06</v>
      </c>
      <c r="E51" s="550">
        <f t="shared" si="0"/>
        <v>-8.64999999999964</v>
      </c>
      <c r="F51" s="551">
        <f t="shared" si="1"/>
        <v>-0.000735187251768031</v>
      </c>
      <c r="G51" s="537" t="s">
        <v>25</v>
      </c>
      <c r="H51" s="549">
        <f>SUM([3]配水管!$D$13:$D$18,[3]配水管!$D$32:$D$37)</f>
        <v>704666.882551649</v>
      </c>
      <c r="I51" s="549">
        <f t="shared" si="3"/>
        <v>166.845644248625</v>
      </c>
      <c r="J51" s="555"/>
      <c r="K51" s="556">
        <f>上机测算!L51</f>
        <v>121852215.85</v>
      </c>
      <c r="L51" s="557" t="e">
        <f>#REF!-K51/10000</f>
        <v>#REF!</v>
      </c>
    </row>
    <row r="52" s="517" customFormat="true" customHeight="true" spans="1:12">
      <c r="A52" s="535">
        <v>5</v>
      </c>
      <c r="B52" s="536" t="str">
        <f>上机测算!K52</f>
        <v>雅兴镇村-管配件</v>
      </c>
      <c r="C52" s="537">
        <v>2321.13</v>
      </c>
      <c r="D52" s="538">
        <v>2319.57</v>
      </c>
      <c r="E52" s="550">
        <f t="shared" si="0"/>
        <v>-1.55999999999995</v>
      </c>
      <c r="F52" s="551">
        <f t="shared" si="1"/>
        <v>-0.000672086440656036</v>
      </c>
      <c r="G52" s="537" t="s">
        <v>30</v>
      </c>
      <c r="H52" s="549">
        <f>12540+13979</f>
        <v>26519</v>
      </c>
      <c r="I52" s="549">
        <f t="shared" si="3"/>
        <v>874.682303254271</v>
      </c>
      <c r="J52" s="555" t="s">
        <v>38</v>
      </c>
      <c r="K52" s="556">
        <f>上机测算!L52</f>
        <v>23211223.12</v>
      </c>
      <c r="L52" s="557" t="e">
        <f>#REF!-K52/10000</f>
        <v>#REF!</v>
      </c>
    </row>
    <row r="53" s="517" customFormat="true" customHeight="true" spans="1:12">
      <c r="A53" s="535">
        <v>6</v>
      </c>
      <c r="B53" s="536" t="str">
        <f>上机测算!K53</f>
        <v>雅兴镇村-路面破除及恢复</v>
      </c>
      <c r="C53" s="537">
        <v>7571.69</v>
      </c>
      <c r="D53" s="538">
        <v>7485.9</v>
      </c>
      <c r="E53" s="550">
        <f t="shared" si="0"/>
        <v>-85.79</v>
      </c>
      <c r="F53" s="551">
        <f t="shared" si="1"/>
        <v>-0.0113303634987698</v>
      </c>
      <c r="G53" s="537" t="s">
        <v>32</v>
      </c>
      <c r="H53" s="549">
        <f>126719+144811</f>
        <v>271530</v>
      </c>
      <c r="I53" s="549">
        <f t="shared" si="3"/>
        <v>275.693293558723</v>
      </c>
      <c r="J53" s="555"/>
      <c r="K53" s="556">
        <f>上机测算!L53</f>
        <v>76067958.76</v>
      </c>
      <c r="L53" s="557" t="e">
        <f>#REF!-K53/10000</f>
        <v>#REF!</v>
      </c>
    </row>
    <row r="54" s="517" customFormat="true" customHeight="true" spans="1:12">
      <c r="A54" s="535">
        <v>7</v>
      </c>
      <c r="B54" s="536" t="str">
        <f>上机测算!K54</f>
        <v>海头镇村-配水管</v>
      </c>
      <c r="C54" s="537">
        <v>2341.52</v>
      </c>
      <c r="D54" s="538">
        <v>2335.62</v>
      </c>
      <c r="E54" s="550">
        <f t="shared" si="0"/>
        <v>-5.90000000000009</v>
      </c>
      <c r="F54" s="551">
        <f t="shared" si="1"/>
        <v>-0.00251973077317302</v>
      </c>
      <c r="G54" s="537" t="s">
        <v>25</v>
      </c>
      <c r="H54" s="549">
        <f>SUM([3]配水管!$D$22:$D$27)</f>
        <v>138586.057</v>
      </c>
      <c r="I54" s="549">
        <f t="shared" si="3"/>
        <v>168.532105650426</v>
      </c>
      <c r="J54" s="555"/>
      <c r="K54" s="556">
        <f>上机测算!L54</f>
        <v>24293406.22</v>
      </c>
      <c r="L54" s="557"/>
    </row>
    <row r="55" s="517" customFormat="true" customHeight="true" spans="1:12">
      <c r="A55" s="535">
        <v>8</v>
      </c>
      <c r="B55" s="536" t="str">
        <f>上机测算!K55</f>
        <v>海头镇村-管配件</v>
      </c>
      <c r="C55" s="537">
        <v>457.62</v>
      </c>
      <c r="D55" s="538">
        <v>456.29</v>
      </c>
      <c r="E55" s="550">
        <f t="shared" si="0"/>
        <v>-1.32999999999998</v>
      </c>
      <c r="F55" s="551">
        <f t="shared" si="1"/>
        <v>-0.00290634150605302</v>
      </c>
      <c r="G55" s="537" t="s">
        <v>30</v>
      </c>
      <c r="H55" s="549">
        <v>5463</v>
      </c>
      <c r="I55" s="549">
        <f t="shared" si="3"/>
        <v>835.237049240344</v>
      </c>
      <c r="J55" s="555" t="s">
        <v>38</v>
      </c>
      <c r="K55" s="556">
        <f>上机测算!L55</f>
        <v>4576205.74</v>
      </c>
      <c r="L55" s="557"/>
    </row>
    <row r="56" s="517" customFormat="true" customHeight="true" spans="1:12">
      <c r="A56" s="535">
        <v>9</v>
      </c>
      <c r="B56" s="536" t="str">
        <f>上机测算!K56</f>
        <v>海头镇村-路面破除及恢复</v>
      </c>
      <c r="C56" s="537">
        <v>1414.08</v>
      </c>
      <c r="D56" s="538">
        <v>1398.02</v>
      </c>
      <c r="E56" s="550">
        <f t="shared" si="0"/>
        <v>-16.0599999999999</v>
      </c>
      <c r="F56" s="551">
        <f t="shared" si="1"/>
        <v>-0.011357207513012</v>
      </c>
      <c r="G56" s="537" t="s">
        <v>32</v>
      </c>
      <c r="H56" s="549">
        <v>49958</v>
      </c>
      <c r="I56" s="549">
        <f t="shared" si="3"/>
        <v>279.839064814444</v>
      </c>
      <c r="J56" s="555"/>
      <c r="K56" s="556">
        <f>上机测算!L56</f>
        <v>14278415.92</v>
      </c>
      <c r="L56" s="557"/>
    </row>
    <row r="57" s="517" customFormat="true" customHeight="true" spans="1:12">
      <c r="A57" s="535">
        <v>10</v>
      </c>
      <c r="B57" s="536" t="str">
        <f>上机测算!K57</f>
        <v>那大大成漏缺村-配水管</v>
      </c>
      <c r="C57" s="537">
        <v>1435.11</v>
      </c>
      <c r="D57" s="538">
        <v>1426.27</v>
      </c>
      <c r="E57" s="550">
        <f t="shared" si="0"/>
        <v>-8.83999999999992</v>
      </c>
      <c r="F57" s="551">
        <f t="shared" si="1"/>
        <v>-0.00615980656535033</v>
      </c>
      <c r="G57" s="537" t="s">
        <v>25</v>
      </c>
      <c r="H57" s="549">
        <f>SUM([3]配水管!$D$41:$D$46)</f>
        <v>99057</v>
      </c>
      <c r="I57" s="549">
        <f t="shared" si="3"/>
        <v>143.984776441847</v>
      </c>
      <c r="J57" s="555"/>
      <c r="K57" s="556">
        <f>上机测算!L57</f>
        <v>14947565.46</v>
      </c>
      <c r="L57" s="557"/>
    </row>
    <row r="58" s="517" customFormat="true" customHeight="true" spans="1:12">
      <c r="A58" s="535">
        <v>11</v>
      </c>
      <c r="B58" s="536" t="str">
        <f>上机测算!K58</f>
        <v>那大大成漏缺村-管配件</v>
      </c>
      <c r="C58" s="537">
        <v>327.05</v>
      </c>
      <c r="D58" s="538">
        <v>324.62</v>
      </c>
      <c r="E58" s="550">
        <f t="shared" si="0"/>
        <v>-2.43000000000001</v>
      </c>
      <c r="F58" s="551">
        <f t="shared" si="1"/>
        <v>-0.00743005656627429</v>
      </c>
      <c r="G58" s="537" t="s">
        <v>30</v>
      </c>
      <c r="H58" s="549">
        <v>3825</v>
      </c>
      <c r="I58" s="549">
        <f t="shared" si="3"/>
        <v>848.679738562092</v>
      </c>
      <c r="J58" s="555" t="s">
        <v>38</v>
      </c>
      <c r="K58" s="556">
        <f>上机测算!L58</f>
        <v>3270458.64</v>
      </c>
      <c r="L58" s="557"/>
    </row>
    <row r="59" s="517" customFormat="true" customHeight="true" spans="1:12">
      <c r="A59" s="535">
        <v>12</v>
      </c>
      <c r="B59" s="536" t="str">
        <f>上机测算!K59</f>
        <v>那大大成漏缺村-路面破除及恢复</v>
      </c>
      <c r="C59" s="537">
        <v>939.45</v>
      </c>
      <c r="D59" s="538">
        <v>928.78</v>
      </c>
      <c r="E59" s="550">
        <f t="shared" si="0"/>
        <v>-10.6700000000001</v>
      </c>
      <c r="F59" s="551">
        <f t="shared" si="1"/>
        <v>-0.0113577092979936</v>
      </c>
      <c r="G59" s="537" t="s">
        <v>32</v>
      </c>
      <c r="H59" s="549">
        <v>33190</v>
      </c>
      <c r="I59" s="549">
        <f t="shared" si="3"/>
        <v>279.837300391684</v>
      </c>
      <c r="J59" s="555"/>
      <c r="K59" s="556">
        <f>上机测算!L59</f>
        <v>9583325.78</v>
      </c>
      <c r="L59" s="557"/>
    </row>
    <row r="60" s="517" customFormat="true" customHeight="true" spans="1:12">
      <c r="A60" s="535"/>
      <c r="B60" s="536"/>
      <c r="C60" s="539"/>
      <c r="D60" s="537"/>
      <c r="E60" s="545">
        <f t="shared" si="0"/>
        <v>0</v>
      </c>
      <c r="F60" s="551"/>
      <c r="G60" s="537"/>
      <c r="H60" s="549"/>
      <c r="I60" s="549"/>
      <c r="J60" s="555"/>
      <c r="K60" s="556"/>
      <c r="L60" s="557" t="e">
        <f>#REF!-K60/10000</f>
        <v>#REF!</v>
      </c>
    </row>
    <row r="61" s="517" customFormat="true" customHeight="true" spans="1:12">
      <c r="A61" s="532" t="s">
        <v>39</v>
      </c>
      <c r="B61" s="533" t="s">
        <v>40</v>
      </c>
      <c r="C61" s="534">
        <v>1292.65</v>
      </c>
      <c r="D61" s="540">
        <f>SUM(D63:D91)</f>
        <v>1266.1</v>
      </c>
      <c r="E61" s="545">
        <f t="shared" si="0"/>
        <v>-26.5499999999997</v>
      </c>
      <c r="F61" s="551">
        <f t="shared" si="1"/>
        <v>-0.0205392024136462</v>
      </c>
      <c r="G61" s="537"/>
      <c r="H61" s="549"/>
      <c r="I61" s="549"/>
      <c r="J61" s="555"/>
      <c r="K61" s="556"/>
      <c r="L61" s="557" t="e">
        <f>#REF!-K61/10000</f>
        <v>#REF!</v>
      </c>
    </row>
    <row r="62" s="517" customFormat="true" customHeight="true" spans="1:12">
      <c r="A62" s="532"/>
      <c r="B62" s="533" t="s">
        <v>41</v>
      </c>
      <c r="C62" s="534"/>
      <c r="D62" s="537"/>
      <c r="E62" s="545">
        <f t="shared" si="0"/>
        <v>0</v>
      </c>
      <c r="F62" s="551"/>
      <c r="G62" s="537"/>
      <c r="H62" s="549"/>
      <c r="I62" s="549"/>
      <c r="J62" s="555"/>
      <c r="K62" s="556"/>
      <c r="L62" s="557"/>
    </row>
    <row r="63" s="517" customFormat="true" customHeight="true" spans="1:12">
      <c r="A63" s="535">
        <v>1</v>
      </c>
      <c r="B63" s="536" t="str">
        <f>上机测算!K61</f>
        <v>大成水厂-清水池土建</v>
      </c>
      <c r="C63" s="537">
        <v>21.15</v>
      </c>
      <c r="D63" s="538">
        <v>21.1</v>
      </c>
      <c r="E63" s="550">
        <f t="shared" si="0"/>
        <v>-0.0499999999999972</v>
      </c>
      <c r="F63" s="551">
        <f t="shared" si="1"/>
        <v>-0.00236406619385329</v>
      </c>
      <c r="G63" s="537" t="s">
        <v>31</v>
      </c>
      <c r="H63" s="549">
        <v>200</v>
      </c>
      <c r="I63" s="549">
        <f t="shared" si="3"/>
        <v>1055</v>
      </c>
      <c r="J63" s="555"/>
      <c r="K63" s="556">
        <f>上机测算!L61</f>
        <v>210735.64</v>
      </c>
      <c r="L63" s="557" t="e">
        <f>#REF!-K63/10000</f>
        <v>#REF!</v>
      </c>
    </row>
    <row r="64" s="517" customFormat="true" customHeight="true" spans="1:12">
      <c r="A64" s="535">
        <v>2</v>
      </c>
      <c r="B64" s="536" t="str">
        <f>上机测算!K62</f>
        <v>大成水厂-清水池管配件</v>
      </c>
      <c r="C64" s="537">
        <v>1.43</v>
      </c>
      <c r="D64" s="538">
        <v>1.02</v>
      </c>
      <c r="E64" s="550">
        <f t="shared" si="0"/>
        <v>-0.41</v>
      </c>
      <c r="F64" s="551">
        <f t="shared" si="1"/>
        <v>-0.286713286713287</v>
      </c>
      <c r="G64" s="537" t="s">
        <v>42</v>
      </c>
      <c r="H64" s="549">
        <v>4000</v>
      </c>
      <c r="I64" s="549">
        <f t="shared" si="3"/>
        <v>2.55</v>
      </c>
      <c r="J64" s="555"/>
      <c r="K64" s="556">
        <f>上机测算!L62</f>
        <v>14310.84</v>
      </c>
      <c r="L64" s="557" t="e">
        <f>#REF!-K64/10000</f>
        <v>#REF!</v>
      </c>
    </row>
    <row r="65" s="517" customFormat="true" customHeight="true" spans="1:12">
      <c r="A65" s="535">
        <v>3</v>
      </c>
      <c r="B65" s="536" t="str">
        <f>上机测算!K63</f>
        <v>大成水厂-砖砌溢流井</v>
      </c>
      <c r="C65" s="537">
        <v>0.81</v>
      </c>
      <c r="D65" s="538">
        <v>0.5</v>
      </c>
      <c r="E65" s="550">
        <f t="shared" si="0"/>
        <v>-0.31</v>
      </c>
      <c r="F65" s="551">
        <f t="shared" si="1"/>
        <v>-0.382716049382716</v>
      </c>
      <c r="G65" s="537" t="s">
        <v>42</v>
      </c>
      <c r="H65" s="549">
        <v>4000</v>
      </c>
      <c r="I65" s="549">
        <f t="shared" si="3"/>
        <v>1.25</v>
      </c>
      <c r="J65" s="555"/>
      <c r="K65" s="556">
        <f>上机测算!L63</f>
        <v>8094.49</v>
      </c>
      <c r="L65" s="557"/>
    </row>
    <row r="66" s="517" customFormat="true" customHeight="true" spans="1:12">
      <c r="A66" s="535">
        <v>4</v>
      </c>
      <c r="B66" s="536" t="str">
        <f>上机测算!K64</f>
        <v>大成水厂-送水泵房管配件</v>
      </c>
      <c r="C66" s="537">
        <v>5.78</v>
      </c>
      <c r="D66" s="538">
        <v>5.4</v>
      </c>
      <c r="E66" s="550">
        <f t="shared" si="0"/>
        <v>-0.38</v>
      </c>
      <c r="F66" s="551">
        <f t="shared" si="1"/>
        <v>-0.0657439446366782</v>
      </c>
      <c r="G66" s="537" t="s">
        <v>42</v>
      </c>
      <c r="H66" s="549">
        <v>4000</v>
      </c>
      <c r="I66" s="549">
        <f t="shared" si="3"/>
        <v>13.5</v>
      </c>
      <c r="J66" s="555"/>
      <c r="K66" s="556">
        <f>上机测算!L64</f>
        <v>57817.93</v>
      </c>
      <c r="L66" s="557"/>
    </row>
    <row r="67" s="517" customFormat="true" customHeight="true" spans="1:12">
      <c r="A67" s="535">
        <v>5</v>
      </c>
      <c r="B67" s="536" t="str">
        <f>上机测算!K65</f>
        <v>大成水厂-送水泵房设备</v>
      </c>
      <c r="C67" s="537">
        <v>278.65</v>
      </c>
      <c r="D67" s="538">
        <v>276.1</v>
      </c>
      <c r="E67" s="550">
        <f t="shared" si="0"/>
        <v>-2.54999999999995</v>
      </c>
      <c r="F67" s="551">
        <f t="shared" si="1"/>
        <v>-0.00915126502781251</v>
      </c>
      <c r="G67" s="537" t="s">
        <v>42</v>
      </c>
      <c r="H67" s="549">
        <v>4000</v>
      </c>
      <c r="I67" s="549">
        <f t="shared" si="3"/>
        <v>690.25</v>
      </c>
      <c r="J67" s="555"/>
      <c r="K67" s="556">
        <f>上机测算!L65</f>
        <v>2786481.97</v>
      </c>
      <c r="L67" s="557"/>
    </row>
    <row r="68" s="517" customFormat="true" customHeight="true" spans="1:12">
      <c r="A68" s="535">
        <v>6</v>
      </c>
      <c r="B68" s="536" t="str">
        <f>上机测算!K66</f>
        <v>大成水厂-场内管线</v>
      </c>
      <c r="C68" s="537">
        <v>2.43</v>
      </c>
      <c r="D68" s="538">
        <v>2.03</v>
      </c>
      <c r="E68" s="550">
        <f t="shared" si="0"/>
        <v>-0.4</v>
      </c>
      <c r="F68" s="551">
        <f t="shared" si="1"/>
        <v>-0.164609053497943</v>
      </c>
      <c r="G68" s="537"/>
      <c r="H68" s="549"/>
      <c r="I68" s="549"/>
      <c r="J68" s="555"/>
      <c r="K68" s="556">
        <f>上机测算!L66</f>
        <v>24318.04</v>
      </c>
      <c r="L68" s="557"/>
    </row>
    <row r="69" s="517" customFormat="true" customHeight="true" spans="1:12">
      <c r="A69" s="535">
        <v>7</v>
      </c>
      <c r="B69" s="536" t="str">
        <f>上机测算!K67</f>
        <v>大成水厂-场内管线土方</v>
      </c>
      <c r="C69" s="537">
        <v>2.13</v>
      </c>
      <c r="D69" s="538">
        <v>1.8</v>
      </c>
      <c r="E69" s="550">
        <f t="shared" si="0"/>
        <v>-0.33</v>
      </c>
      <c r="F69" s="551">
        <f t="shared" si="1"/>
        <v>-0.154929577464789</v>
      </c>
      <c r="G69" s="537"/>
      <c r="H69" s="549"/>
      <c r="I69" s="549"/>
      <c r="J69" s="555"/>
      <c r="K69" s="556">
        <f>上机测算!L67</f>
        <v>21270.78</v>
      </c>
      <c r="L69" s="557"/>
    </row>
    <row r="70" s="517" customFormat="true" customHeight="true" spans="1:12">
      <c r="A70" s="535">
        <v>8</v>
      </c>
      <c r="B70" s="536" t="str">
        <f>上机测算!K68</f>
        <v>大成水厂-电气</v>
      </c>
      <c r="C70" s="537">
        <v>3.76</v>
      </c>
      <c r="D70" s="538">
        <v>3.37</v>
      </c>
      <c r="E70" s="550">
        <f t="shared" ref="E70:E71" si="4">D70-C70</f>
        <v>-0.39</v>
      </c>
      <c r="F70" s="551">
        <f t="shared" ref="F70:F71" si="5">E70/C70</f>
        <v>-0.103723404255319</v>
      </c>
      <c r="G70" s="537"/>
      <c r="H70" s="549"/>
      <c r="I70" s="549"/>
      <c r="J70" s="555"/>
      <c r="K70" s="556">
        <f>上机测算!L68</f>
        <v>37644.57</v>
      </c>
      <c r="L70" s="557"/>
    </row>
    <row r="71" s="517" customFormat="true" customHeight="true" spans="1:12">
      <c r="A71" s="535">
        <v>9</v>
      </c>
      <c r="B71" s="536" t="str">
        <f>上机测算!K69</f>
        <v>大成水厂-自控</v>
      </c>
      <c r="C71" s="537">
        <v>126.41</v>
      </c>
      <c r="D71" s="538">
        <v>120.49</v>
      </c>
      <c r="E71" s="550">
        <f t="shared" si="4"/>
        <v>-5.92</v>
      </c>
      <c r="F71" s="551">
        <f t="shared" si="5"/>
        <v>-0.0468317379954118</v>
      </c>
      <c r="G71" s="537"/>
      <c r="H71" s="549"/>
      <c r="I71" s="549"/>
      <c r="J71" s="555"/>
      <c r="K71" s="556">
        <f>上机测算!L69</f>
        <v>1264138.01</v>
      </c>
      <c r="L71" s="557"/>
    </row>
    <row r="72" s="517" customFormat="true" customHeight="true" spans="1:12">
      <c r="A72" s="535"/>
      <c r="B72" s="533" t="s">
        <v>43</v>
      </c>
      <c r="C72" s="539"/>
      <c r="D72" s="538"/>
      <c r="E72" s="545">
        <f t="shared" ref="E72:E134" si="6">D72-C72</f>
        <v>0</v>
      </c>
      <c r="F72" s="551"/>
      <c r="G72" s="537"/>
      <c r="H72" s="549"/>
      <c r="I72" s="549"/>
      <c r="J72" s="555"/>
      <c r="K72" s="556"/>
      <c r="L72" s="557"/>
    </row>
    <row r="73" s="517" customFormat="true" customHeight="true" spans="1:12">
      <c r="A73" s="535">
        <f>A71+1</f>
        <v>10</v>
      </c>
      <c r="B73" s="536" t="str">
        <f>上机测算!K70</f>
        <v>雅星水厂-清水池土建</v>
      </c>
      <c r="C73" s="537">
        <v>20.91</v>
      </c>
      <c r="D73" s="538">
        <v>20.85</v>
      </c>
      <c r="E73" s="550">
        <f t="shared" si="6"/>
        <v>-0.0599999999999987</v>
      </c>
      <c r="F73" s="551">
        <f t="shared" ref="F73:F134" si="7">E73/C73</f>
        <v>-0.00286944045911041</v>
      </c>
      <c r="G73" s="537" t="s">
        <v>31</v>
      </c>
      <c r="H73" s="549">
        <v>200</v>
      </c>
      <c r="I73" s="549">
        <f t="shared" si="3"/>
        <v>1042.5</v>
      </c>
      <c r="J73" s="555"/>
      <c r="K73" s="556">
        <f>上机测算!L70</f>
        <v>208413.04</v>
      </c>
      <c r="L73" s="557"/>
    </row>
    <row r="74" s="517" customFormat="true" customHeight="true" spans="1:12">
      <c r="A74" s="535">
        <f t="shared" ref="A74:A81" si="8">A73+1</f>
        <v>11</v>
      </c>
      <c r="B74" s="536" t="str">
        <f>上机测算!K71</f>
        <v>雅星水厂-清水池管配件</v>
      </c>
      <c r="C74" s="537">
        <v>1.14</v>
      </c>
      <c r="D74" s="538">
        <v>1.02</v>
      </c>
      <c r="E74" s="550">
        <f t="shared" si="6"/>
        <v>-0.12</v>
      </c>
      <c r="F74" s="551">
        <f t="shared" si="7"/>
        <v>-0.105263157894737</v>
      </c>
      <c r="G74" s="537" t="s">
        <v>42</v>
      </c>
      <c r="H74" s="549">
        <v>4000</v>
      </c>
      <c r="I74" s="549">
        <f t="shared" si="3"/>
        <v>2.55</v>
      </c>
      <c r="J74" s="555"/>
      <c r="K74" s="556">
        <f>上机测算!L71</f>
        <v>11369.06</v>
      </c>
      <c r="L74" s="557"/>
    </row>
    <row r="75" s="517" customFormat="true" customHeight="true" spans="1:12">
      <c r="A75" s="535">
        <f t="shared" si="8"/>
        <v>12</v>
      </c>
      <c r="B75" s="536" t="str">
        <f>上机测算!K72</f>
        <v>雅星水厂-砖砌溢流井</v>
      </c>
      <c r="C75" s="537">
        <v>0.52</v>
      </c>
      <c r="D75" s="538">
        <v>0.51</v>
      </c>
      <c r="E75" s="550">
        <f t="shared" si="6"/>
        <v>-0.01</v>
      </c>
      <c r="F75" s="551">
        <f t="shared" si="7"/>
        <v>-0.0192307692307692</v>
      </c>
      <c r="G75" s="537" t="s">
        <v>42</v>
      </c>
      <c r="H75" s="549">
        <v>4000</v>
      </c>
      <c r="I75" s="549">
        <f t="shared" si="3"/>
        <v>1.275</v>
      </c>
      <c r="J75" s="555"/>
      <c r="K75" s="556">
        <f>上机测算!L72</f>
        <v>5152.66</v>
      </c>
      <c r="L75" s="557"/>
    </row>
    <row r="76" s="517" customFormat="true" customHeight="true" spans="1:12">
      <c r="A76" s="535">
        <f t="shared" si="8"/>
        <v>13</v>
      </c>
      <c r="B76" s="536" t="str">
        <f>上机测算!K73</f>
        <v>雅星水厂-送水泵房管配件</v>
      </c>
      <c r="C76" s="537">
        <v>5.49</v>
      </c>
      <c r="D76" s="538">
        <v>4.93</v>
      </c>
      <c r="E76" s="550">
        <f t="shared" si="6"/>
        <v>-0.56</v>
      </c>
      <c r="F76" s="551">
        <f t="shared" si="7"/>
        <v>-0.10200364298725</v>
      </c>
      <c r="G76" s="537" t="s">
        <v>42</v>
      </c>
      <c r="H76" s="549">
        <v>4000</v>
      </c>
      <c r="I76" s="549">
        <f t="shared" si="3"/>
        <v>12.325</v>
      </c>
      <c r="J76" s="555"/>
      <c r="K76" s="556">
        <f>上机测算!L73</f>
        <v>54876.12</v>
      </c>
      <c r="L76" s="557"/>
    </row>
    <row r="77" s="517" customFormat="true" customHeight="true" spans="1:12">
      <c r="A77" s="535">
        <f t="shared" si="8"/>
        <v>14</v>
      </c>
      <c r="B77" s="536" t="str">
        <f>上机测算!K74</f>
        <v>雅星水厂-送水泵房设备</v>
      </c>
      <c r="C77" s="537">
        <v>278.35</v>
      </c>
      <c r="D77" s="538">
        <v>278.14</v>
      </c>
      <c r="E77" s="550">
        <f t="shared" si="6"/>
        <v>-0.210000000000036</v>
      </c>
      <c r="F77" s="551">
        <f t="shared" si="7"/>
        <v>-0.000754445841566504</v>
      </c>
      <c r="G77" s="537" t="s">
        <v>42</v>
      </c>
      <c r="H77" s="549">
        <v>4000</v>
      </c>
      <c r="I77" s="549">
        <f t="shared" si="3"/>
        <v>695.35</v>
      </c>
      <c r="J77" s="555"/>
      <c r="K77" s="556">
        <f>上机测算!L74</f>
        <v>2783540.18</v>
      </c>
      <c r="L77" s="557"/>
    </row>
    <row r="78" s="517" customFormat="true" customHeight="true" spans="1:12">
      <c r="A78" s="535">
        <f t="shared" si="8"/>
        <v>15</v>
      </c>
      <c r="B78" s="536" t="str">
        <f>上机测算!K75</f>
        <v>雅星水厂-厂内管线</v>
      </c>
      <c r="C78" s="537">
        <v>2.4</v>
      </c>
      <c r="D78" s="538">
        <v>2.33</v>
      </c>
      <c r="E78" s="550">
        <f t="shared" si="6"/>
        <v>-0.0699999999999998</v>
      </c>
      <c r="F78" s="551">
        <f t="shared" si="7"/>
        <v>-0.0291666666666666</v>
      </c>
      <c r="G78" s="537"/>
      <c r="H78" s="549"/>
      <c r="I78" s="549"/>
      <c r="J78" s="555"/>
      <c r="K78" s="556">
        <f>上机测算!L75</f>
        <v>24043.67</v>
      </c>
      <c r="L78" s="557"/>
    </row>
    <row r="79" s="517" customFormat="true" customHeight="true" spans="1:12">
      <c r="A79" s="535">
        <f t="shared" si="8"/>
        <v>16</v>
      </c>
      <c r="B79" s="536" t="str">
        <f>上机测算!K76</f>
        <v>雅星水厂-场内管线土方</v>
      </c>
      <c r="C79" s="537">
        <v>2.08</v>
      </c>
      <c r="D79" s="538">
        <v>1.78</v>
      </c>
      <c r="E79" s="550">
        <f t="shared" si="6"/>
        <v>-0.3</v>
      </c>
      <c r="F79" s="551">
        <f t="shared" si="7"/>
        <v>-0.144230769230769</v>
      </c>
      <c r="G79" s="537"/>
      <c r="H79" s="549"/>
      <c r="I79" s="549"/>
      <c r="J79" s="555"/>
      <c r="K79" s="556">
        <f>上机测算!L76</f>
        <v>20760.18</v>
      </c>
      <c r="L79" s="557"/>
    </row>
    <row r="80" s="517" customFormat="true" customHeight="true" spans="1:12">
      <c r="A80" s="535">
        <f t="shared" si="8"/>
        <v>17</v>
      </c>
      <c r="B80" s="536" t="str">
        <f>上机测算!K77</f>
        <v>雅星水厂-电气</v>
      </c>
      <c r="C80" s="537">
        <v>3.47</v>
      </c>
      <c r="D80" s="538">
        <v>3.37</v>
      </c>
      <c r="E80" s="550">
        <f t="shared" si="6"/>
        <v>-0.1</v>
      </c>
      <c r="F80" s="551">
        <f t="shared" si="7"/>
        <v>-0.0288184438040346</v>
      </c>
      <c r="G80" s="537"/>
      <c r="H80" s="549"/>
      <c r="I80" s="549"/>
      <c r="J80" s="555"/>
      <c r="K80" s="556">
        <f>上机测算!L77</f>
        <v>34702.79</v>
      </c>
      <c r="L80" s="557"/>
    </row>
    <row r="81" s="517" customFormat="true" customHeight="true" spans="1:12">
      <c r="A81" s="535">
        <f t="shared" si="8"/>
        <v>18</v>
      </c>
      <c r="B81" s="536" t="str">
        <f>上机测算!K78</f>
        <v>雅星水厂-自控1</v>
      </c>
      <c r="C81" s="537">
        <v>94.85</v>
      </c>
      <c r="D81" s="538">
        <v>89.38</v>
      </c>
      <c r="E81" s="550">
        <f t="shared" si="6"/>
        <v>-5.47</v>
      </c>
      <c r="F81" s="551">
        <f t="shared" si="7"/>
        <v>-0.0576700052714813</v>
      </c>
      <c r="G81" s="537"/>
      <c r="H81" s="549"/>
      <c r="I81" s="549"/>
      <c r="J81" s="555"/>
      <c r="K81" s="556">
        <f>上机测算!L78</f>
        <v>948468.59</v>
      </c>
      <c r="L81" s="557"/>
    </row>
    <row r="82" s="517" customFormat="true" customHeight="true" spans="1:12">
      <c r="A82" s="535"/>
      <c r="B82" s="533" t="s">
        <v>44</v>
      </c>
      <c r="C82" s="539"/>
      <c r="D82" s="538"/>
      <c r="E82" s="545">
        <f t="shared" si="6"/>
        <v>0</v>
      </c>
      <c r="F82" s="551"/>
      <c r="G82" s="537"/>
      <c r="H82" s="549"/>
      <c r="I82" s="549"/>
      <c r="J82" s="555"/>
      <c r="K82" s="556"/>
      <c r="L82" s="557"/>
    </row>
    <row r="83" s="517" customFormat="true" customHeight="true" spans="1:12">
      <c r="A83" s="535">
        <f>A81+1</f>
        <v>19</v>
      </c>
      <c r="B83" s="536" t="str">
        <f>上机测算!K79</f>
        <v>大雅水厂-清水池土建</v>
      </c>
      <c r="C83" s="537">
        <v>20.91</v>
      </c>
      <c r="D83" s="538">
        <v>20.85</v>
      </c>
      <c r="E83" s="550">
        <f t="shared" si="6"/>
        <v>-0.0599999999999987</v>
      </c>
      <c r="F83" s="551">
        <f t="shared" si="7"/>
        <v>-0.00286944045911041</v>
      </c>
      <c r="G83" s="537" t="s">
        <v>31</v>
      </c>
      <c r="H83" s="549">
        <v>200</v>
      </c>
      <c r="I83" s="549">
        <f t="shared" si="3"/>
        <v>1042.5</v>
      </c>
      <c r="J83" s="555"/>
      <c r="K83" s="556">
        <f>上机测算!L79</f>
        <v>208413.02</v>
      </c>
      <c r="L83" s="557"/>
    </row>
    <row r="84" s="517" customFormat="true" customHeight="true" spans="1:12">
      <c r="A84" s="535">
        <f t="shared" ref="A84:A91" si="9">A83+1</f>
        <v>20</v>
      </c>
      <c r="B84" s="536" t="str">
        <f>上机测算!K80</f>
        <v>大雅水厂-清水池管配件</v>
      </c>
      <c r="C84" s="537">
        <v>1.14</v>
      </c>
      <c r="D84" s="538">
        <v>1.08</v>
      </c>
      <c r="E84" s="550">
        <f t="shared" si="6"/>
        <v>-0.0599999999999998</v>
      </c>
      <c r="F84" s="551">
        <f t="shared" si="7"/>
        <v>-0.0526315789473683</v>
      </c>
      <c r="G84" s="537" t="s">
        <v>42</v>
      </c>
      <c r="H84" s="549">
        <v>4000</v>
      </c>
      <c r="I84" s="549">
        <f t="shared" si="3"/>
        <v>2.7</v>
      </c>
      <c r="J84" s="555"/>
      <c r="K84" s="556">
        <f>上机测算!L80</f>
        <v>11369.06</v>
      </c>
      <c r="L84" s="557"/>
    </row>
    <row r="85" s="517" customFormat="true" customHeight="true" spans="1:12">
      <c r="A85" s="535">
        <f t="shared" si="9"/>
        <v>21</v>
      </c>
      <c r="B85" s="536" t="str">
        <f>上机测算!K81</f>
        <v>大雅水厂-砖砌溢流井</v>
      </c>
      <c r="C85" s="537">
        <v>0.29</v>
      </c>
      <c r="D85" s="538" t="s">
        <v>45</v>
      </c>
      <c r="E85" s="550">
        <f t="shared" si="6"/>
        <v>-0.29</v>
      </c>
      <c r="F85" s="551">
        <f t="shared" si="7"/>
        <v>-1</v>
      </c>
      <c r="G85" s="537" t="s">
        <v>42</v>
      </c>
      <c r="H85" s="549">
        <v>4000</v>
      </c>
      <c r="I85" s="549">
        <f t="shared" si="3"/>
        <v>0</v>
      </c>
      <c r="J85" s="555"/>
      <c r="K85" s="556">
        <f>上机测算!L81</f>
        <v>2941.8</v>
      </c>
      <c r="L85" s="557"/>
    </row>
    <row r="86" s="517" customFormat="true" customHeight="true" spans="1:12">
      <c r="A86" s="535">
        <f t="shared" si="9"/>
        <v>22</v>
      </c>
      <c r="B86" s="536" t="str">
        <f>上机测算!K82</f>
        <v>大雅水厂-送水泵房管配件</v>
      </c>
      <c r="C86" s="537">
        <v>7.92</v>
      </c>
      <c r="D86" s="538">
        <v>7.63</v>
      </c>
      <c r="E86" s="550">
        <f t="shared" si="6"/>
        <v>-0.29</v>
      </c>
      <c r="F86" s="551">
        <f t="shared" si="7"/>
        <v>-0.0366161616161616</v>
      </c>
      <c r="G86" s="537" t="s">
        <v>42</v>
      </c>
      <c r="H86" s="549">
        <v>4000</v>
      </c>
      <c r="I86" s="549">
        <f t="shared" si="3"/>
        <v>19.075</v>
      </c>
      <c r="J86" s="555"/>
      <c r="K86" s="556">
        <f>上机测算!L82</f>
        <v>79194.17</v>
      </c>
      <c r="L86" s="557"/>
    </row>
    <row r="87" s="517" customFormat="true" customHeight="true" spans="1:12">
      <c r="A87" s="535">
        <f t="shared" si="9"/>
        <v>23</v>
      </c>
      <c r="B87" s="536" t="str">
        <f>上机测算!K83</f>
        <v>大雅水厂-送水泵房设备</v>
      </c>
      <c r="C87" s="537">
        <v>278.65</v>
      </c>
      <c r="D87" s="538">
        <v>278.35</v>
      </c>
      <c r="E87" s="550">
        <f t="shared" si="6"/>
        <v>-0.299999999999955</v>
      </c>
      <c r="F87" s="551">
        <f t="shared" si="7"/>
        <v>-0.00107661941503662</v>
      </c>
      <c r="G87" s="537" t="s">
        <v>42</v>
      </c>
      <c r="H87" s="549">
        <v>4000</v>
      </c>
      <c r="I87" s="549">
        <f t="shared" si="3"/>
        <v>695.875</v>
      </c>
      <c r="J87" s="555"/>
      <c r="K87" s="556">
        <f>上机测算!L83</f>
        <v>2786481.97</v>
      </c>
      <c r="L87" s="557"/>
    </row>
    <row r="88" s="517" customFormat="true" customHeight="true" spans="1:12">
      <c r="A88" s="535">
        <f t="shared" si="9"/>
        <v>24</v>
      </c>
      <c r="B88" s="536" t="str">
        <f>上机测算!K84</f>
        <v>大雅水厂-场内管线</v>
      </c>
      <c r="C88" s="537">
        <v>2.43</v>
      </c>
      <c r="D88" s="538">
        <v>2.14</v>
      </c>
      <c r="E88" s="550">
        <f t="shared" si="6"/>
        <v>-0.29</v>
      </c>
      <c r="F88" s="551">
        <f t="shared" si="7"/>
        <v>-0.119341563786008</v>
      </c>
      <c r="G88" s="537"/>
      <c r="H88" s="549"/>
      <c r="I88" s="549"/>
      <c r="J88" s="555"/>
      <c r="K88" s="556">
        <f>上机测算!L84</f>
        <v>24318.04</v>
      </c>
      <c r="L88" s="557"/>
    </row>
    <row r="89" s="517" customFormat="true" customHeight="true" spans="1:12">
      <c r="A89" s="535">
        <f t="shared" si="9"/>
        <v>25</v>
      </c>
      <c r="B89" s="536" t="str">
        <f>上机测算!K85</f>
        <v>大雅水厂-场内管线土方</v>
      </c>
      <c r="C89" s="537">
        <v>2.13</v>
      </c>
      <c r="D89" s="538">
        <v>1.83</v>
      </c>
      <c r="E89" s="550">
        <f t="shared" si="6"/>
        <v>-0.3</v>
      </c>
      <c r="F89" s="551">
        <f t="shared" si="7"/>
        <v>-0.140845070422535</v>
      </c>
      <c r="G89" s="537"/>
      <c r="H89" s="549"/>
      <c r="I89" s="549"/>
      <c r="J89" s="555"/>
      <c r="K89" s="556">
        <f>上机测算!L85</f>
        <v>21270.78</v>
      </c>
      <c r="L89" s="557"/>
    </row>
    <row r="90" s="517" customFormat="true" customHeight="true" spans="1:12">
      <c r="A90" s="535">
        <f t="shared" si="9"/>
        <v>26</v>
      </c>
      <c r="B90" s="536" t="str">
        <f>上机测算!K86</f>
        <v>大雅水厂-电气</v>
      </c>
      <c r="C90" s="537">
        <v>3.76</v>
      </c>
      <c r="D90" s="538">
        <v>3.47</v>
      </c>
      <c r="E90" s="550">
        <f t="shared" si="6"/>
        <v>-0.29</v>
      </c>
      <c r="F90" s="551">
        <f t="shared" si="7"/>
        <v>-0.077127659574468</v>
      </c>
      <c r="G90" s="537"/>
      <c r="H90" s="549"/>
      <c r="I90" s="549"/>
      <c r="J90" s="555"/>
      <c r="K90" s="556">
        <f>上机测算!L86</f>
        <v>37644.57</v>
      </c>
      <c r="L90" s="557"/>
    </row>
    <row r="91" s="517" customFormat="true" customHeight="true" spans="1:12">
      <c r="A91" s="535">
        <f t="shared" si="9"/>
        <v>27</v>
      </c>
      <c r="B91" s="536" t="str">
        <f>上机测算!K87</f>
        <v>大雅水厂-自控</v>
      </c>
      <c r="C91" s="537">
        <v>123.66</v>
      </c>
      <c r="D91" s="538">
        <v>116.63</v>
      </c>
      <c r="E91" s="550">
        <f t="shared" si="6"/>
        <v>-7.03</v>
      </c>
      <c r="F91" s="551">
        <f t="shared" si="7"/>
        <v>-0.056849425845059</v>
      </c>
      <c r="G91" s="537"/>
      <c r="H91" s="549"/>
      <c r="I91" s="549"/>
      <c r="J91" s="555"/>
      <c r="K91" s="556">
        <f>上机测算!L87</f>
        <v>1236561.69</v>
      </c>
      <c r="L91" s="557"/>
    </row>
    <row r="92" s="517" customFormat="true" customHeight="true" spans="1:12">
      <c r="A92" s="535"/>
      <c r="B92" s="536"/>
      <c r="C92" s="539"/>
      <c r="D92" s="537"/>
      <c r="E92" s="545">
        <f t="shared" si="6"/>
        <v>0</v>
      </c>
      <c r="F92" s="551"/>
      <c r="G92" s="537"/>
      <c r="H92" s="549"/>
      <c r="I92" s="549"/>
      <c r="J92" s="555"/>
      <c r="K92" s="556"/>
      <c r="L92" s="557" t="e">
        <f>#REF!-K92/10000</f>
        <v>#REF!</v>
      </c>
    </row>
    <row r="93" s="517" customFormat="true" customHeight="true" spans="1:12">
      <c r="A93" s="532" t="s">
        <v>46</v>
      </c>
      <c r="B93" s="533" t="s">
        <v>47</v>
      </c>
      <c r="C93" s="534">
        <v>6961.82</v>
      </c>
      <c r="D93" s="540">
        <f>D94+D106+D112+D122+D133</f>
        <v>6628.75</v>
      </c>
      <c r="E93" s="545">
        <f t="shared" si="6"/>
        <v>-333.069999999999</v>
      </c>
      <c r="F93" s="546">
        <f t="shared" si="7"/>
        <v>-0.0478423745514821</v>
      </c>
      <c r="G93" s="537"/>
      <c r="H93" s="549"/>
      <c r="I93" s="549"/>
      <c r="J93" s="555"/>
      <c r="K93" s="556"/>
      <c r="L93" s="557" t="e">
        <f>#REF!-K93/10000</f>
        <v>#REF!</v>
      </c>
    </row>
    <row r="94" s="517" customFormat="true" customHeight="true" spans="1:12">
      <c r="A94" s="535">
        <v>1</v>
      </c>
      <c r="B94" s="533" t="s">
        <v>48</v>
      </c>
      <c r="C94" s="534">
        <v>2834.6</v>
      </c>
      <c r="D94" s="540">
        <f>SUM(D95:D105)</f>
        <v>2681.44</v>
      </c>
      <c r="E94" s="545">
        <f t="shared" si="6"/>
        <v>-153.16</v>
      </c>
      <c r="F94" s="546">
        <f t="shared" si="7"/>
        <v>-0.0540323149650744</v>
      </c>
      <c r="G94" s="537"/>
      <c r="H94" s="549"/>
      <c r="I94" s="549"/>
      <c r="J94" s="555"/>
      <c r="K94" s="556"/>
      <c r="L94" s="557" t="e">
        <f>#REF!-K94/10000</f>
        <v>#REF!</v>
      </c>
    </row>
    <row r="95" s="517" customFormat="true" customHeight="true" spans="1:12">
      <c r="A95" s="675" t="s">
        <v>49</v>
      </c>
      <c r="B95" s="536" t="str">
        <f>上机测算!K89</f>
        <v>新1#泵站(原2#)-清水池</v>
      </c>
      <c r="C95" s="537">
        <v>331.42</v>
      </c>
      <c r="D95" s="538">
        <v>330.74</v>
      </c>
      <c r="E95" s="550">
        <f t="shared" si="6"/>
        <v>-0.680000000000007</v>
      </c>
      <c r="F95" s="551">
        <f t="shared" si="7"/>
        <v>-0.00205177720113453</v>
      </c>
      <c r="G95" s="537" t="s">
        <v>31</v>
      </c>
      <c r="H95" s="549">
        <f>38.1*30.6*4.88</f>
        <v>5689.3968</v>
      </c>
      <c r="I95" s="549">
        <f t="shared" si="3"/>
        <v>581.327004648366</v>
      </c>
      <c r="J95" s="555"/>
      <c r="K95" s="556">
        <f>上机测算!L89</f>
        <v>3301877.8</v>
      </c>
      <c r="L95" s="557" t="e">
        <f>#REF!-K95/10000</f>
        <v>#REF!</v>
      </c>
    </row>
    <row r="96" s="517" customFormat="true" customHeight="true" spans="1:12">
      <c r="A96" s="675" t="s">
        <v>50</v>
      </c>
      <c r="B96" s="536" t="str">
        <f>上机测算!K90</f>
        <v>新1#泵站(原2#)-增压泵房</v>
      </c>
      <c r="C96" s="537">
        <v>202.71</v>
      </c>
      <c r="D96" s="538">
        <v>201.21</v>
      </c>
      <c r="E96" s="550">
        <f t="shared" si="6"/>
        <v>-1.5</v>
      </c>
      <c r="F96" s="551">
        <f t="shared" si="7"/>
        <v>-0.00739973360959005</v>
      </c>
      <c r="G96" s="537" t="s">
        <v>31</v>
      </c>
      <c r="H96" s="549">
        <f>30.2*9.43*2.99</f>
        <v>851.51014</v>
      </c>
      <c r="I96" s="549">
        <f t="shared" si="3"/>
        <v>2362.97831990586</v>
      </c>
      <c r="J96" s="555"/>
      <c r="K96" s="556">
        <f>上机测算!L90</f>
        <v>2086975.09</v>
      </c>
      <c r="L96" s="557" t="e">
        <f>#REF!-K96/10000</f>
        <v>#REF!</v>
      </c>
    </row>
    <row r="97" s="517" customFormat="true" customHeight="true" spans="1:12">
      <c r="A97" s="675" t="s">
        <v>51</v>
      </c>
      <c r="B97" s="536" t="str">
        <f>上机测算!K91</f>
        <v>新1#泵站(原2#)-加药间</v>
      </c>
      <c r="C97" s="537">
        <v>22.4</v>
      </c>
      <c r="D97" s="538">
        <v>22.12</v>
      </c>
      <c r="E97" s="550">
        <f t="shared" si="6"/>
        <v>-0.279999999999998</v>
      </c>
      <c r="F97" s="551">
        <f t="shared" si="7"/>
        <v>-0.0124999999999999</v>
      </c>
      <c r="G97" s="537" t="s">
        <v>32</v>
      </c>
      <c r="H97" s="549">
        <f>4.76*3.86</f>
        <v>18.3736</v>
      </c>
      <c r="I97" s="549">
        <f t="shared" si="3"/>
        <v>12039.0124961902</v>
      </c>
      <c r="J97" s="555"/>
      <c r="K97" s="556">
        <f>上机测算!L91</f>
        <v>223878.35</v>
      </c>
      <c r="L97" s="557" t="e">
        <f>#REF!-K97/10000</f>
        <v>#REF!</v>
      </c>
    </row>
    <row r="98" s="517" customFormat="true" customHeight="true" spans="1:12">
      <c r="A98" s="675" t="s">
        <v>52</v>
      </c>
      <c r="B98" s="536" t="str">
        <f>上机测算!K92</f>
        <v>新1#泵站(原2#)-次氯酸钠储存池</v>
      </c>
      <c r="C98" s="537">
        <v>9.57</v>
      </c>
      <c r="D98" s="538">
        <v>9.49</v>
      </c>
      <c r="E98" s="550">
        <f t="shared" si="6"/>
        <v>-0.0800000000000001</v>
      </c>
      <c r="F98" s="551">
        <f t="shared" si="7"/>
        <v>-0.00835945663531871</v>
      </c>
      <c r="G98" s="537" t="s">
        <v>31</v>
      </c>
      <c r="H98" s="549">
        <f>4.5*2.5*2.3</f>
        <v>25.875</v>
      </c>
      <c r="I98" s="549">
        <f t="shared" si="3"/>
        <v>3667.63285024155</v>
      </c>
      <c r="J98" s="555"/>
      <c r="K98" s="556">
        <f>上机测算!L92</f>
        <v>95414.68</v>
      </c>
      <c r="L98" s="557"/>
    </row>
    <row r="99" s="517" customFormat="true" customHeight="true" spans="1:12">
      <c r="A99" s="675" t="s">
        <v>53</v>
      </c>
      <c r="B99" s="536" t="str">
        <f>上机测算!K93</f>
        <v>新1#泵站(原2#)设备</v>
      </c>
      <c r="C99" s="537">
        <v>1229.21</v>
      </c>
      <c r="D99" s="538">
        <v>1227.03</v>
      </c>
      <c r="E99" s="550">
        <f t="shared" si="6"/>
        <v>-2.18000000000006</v>
      </c>
      <c r="F99" s="551">
        <f t="shared" si="7"/>
        <v>-0.00177349679875698</v>
      </c>
      <c r="G99" s="537" t="s">
        <v>42</v>
      </c>
      <c r="H99" s="549">
        <v>56000</v>
      </c>
      <c r="I99" s="549">
        <f t="shared" si="3"/>
        <v>219.1125</v>
      </c>
      <c r="J99" s="555"/>
      <c r="K99" s="556">
        <f>上机测算!L93</f>
        <v>12292137.99</v>
      </c>
      <c r="L99" s="557"/>
    </row>
    <row r="100" s="517" customFormat="true" customHeight="true" spans="1:12">
      <c r="A100" s="675" t="s">
        <v>54</v>
      </c>
      <c r="B100" s="536" t="str">
        <f>上机测算!K94</f>
        <v>地基处理</v>
      </c>
      <c r="C100" s="537">
        <v>21.56</v>
      </c>
      <c r="D100" s="538">
        <v>18.26</v>
      </c>
      <c r="E100" s="550">
        <f t="shared" si="6"/>
        <v>-3.3</v>
      </c>
      <c r="F100" s="551">
        <f t="shared" si="7"/>
        <v>-0.153061224489796</v>
      </c>
      <c r="G100" s="537"/>
      <c r="H100" s="549"/>
      <c r="I100" s="549"/>
      <c r="J100" s="555"/>
      <c r="K100" s="556">
        <f>上机测算!L94</f>
        <v>2190344.44</v>
      </c>
      <c r="L100" s="557"/>
    </row>
    <row r="101" s="517" customFormat="true" customHeight="true" spans="1:12">
      <c r="A101" s="675" t="s">
        <v>55</v>
      </c>
      <c r="B101" s="536" t="str">
        <f>上机测算!K95</f>
        <v>基坑围护</v>
      </c>
      <c r="C101" s="537">
        <v>12.27</v>
      </c>
      <c r="D101" s="538">
        <v>11.08</v>
      </c>
      <c r="E101" s="550">
        <f t="shared" si="6"/>
        <v>-1.19</v>
      </c>
      <c r="F101" s="551">
        <f t="shared" si="7"/>
        <v>-0.0969845150774246</v>
      </c>
      <c r="G101" s="537"/>
      <c r="H101" s="549"/>
      <c r="I101" s="549"/>
      <c r="J101" s="555"/>
      <c r="K101" s="556">
        <f>上机测算!L95</f>
        <v>122707.87</v>
      </c>
      <c r="L101" s="557"/>
    </row>
    <row r="102" s="517" customFormat="true" customHeight="true" spans="1:12">
      <c r="A102" s="675" t="s">
        <v>56</v>
      </c>
      <c r="B102" s="536" t="str">
        <f>上机测算!K96</f>
        <v>新1#泵站(原2#)厂平</v>
      </c>
      <c r="C102" s="537">
        <v>305.84</v>
      </c>
      <c r="D102" s="538">
        <v>179.63</v>
      </c>
      <c r="E102" s="550">
        <f t="shared" si="6"/>
        <v>-126.21</v>
      </c>
      <c r="F102" s="551">
        <f t="shared" si="7"/>
        <v>-0.412666753858226</v>
      </c>
      <c r="G102" s="537"/>
      <c r="H102" s="549"/>
      <c r="I102" s="549"/>
      <c r="J102" s="555"/>
      <c r="K102" s="556">
        <f>上机测算!L96</f>
        <v>3490674.88</v>
      </c>
      <c r="L102" s="557"/>
    </row>
    <row r="103" s="517" customFormat="true" ht="26.1" customHeight="true" spans="1:12">
      <c r="A103" s="675" t="s">
        <v>57</v>
      </c>
      <c r="B103" s="536" t="str">
        <f>上机测算!K97</f>
        <v>新1#泵站(原2#)厂平管配件</v>
      </c>
      <c r="C103" s="537">
        <v>82.65</v>
      </c>
      <c r="D103" s="538">
        <v>82.42</v>
      </c>
      <c r="E103" s="550">
        <f t="shared" si="6"/>
        <v>-0.230000000000004</v>
      </c>
      <c r="F103" s="551">
        <f t="shared" si="7"/>
        <v>-0.00278281911675746</v>
      </c>
      <c r="G103" s="537"/>
      <c r="H103" s="549"/>
      <c r="I103" s="549"/>
      <c r="J103" s="560"/>
      <c r="K103" s="556">
        <f>上机测算!L97</f>
        <v>826519.7</v>
      </c>
      <c r="L103" s="557" t="e">
        <f>#REF!-K103/10000</f>
        <v>#REF!</v>
      </c>
    </row>
    <row r="104" s="517" customFormat="true" customHeight="true" spans="1:12">
      <c r="A104" s="675" t="s">
        <v>58</v>
      </c>
      <c r="B104" s="536" t="str">
        <f>上机测算!K98</f>
        <v>新1#泵站(原2#)自控</v>
      </c>
      <c r="C104" s="537">
        <v>400.54</v>
      </c>
      <c r="D104" s="538">
        <v>391.79</v>
      </c>
      <c r="E104" s="550">
        <f t="shared" si="6"/>
        <v>-8.75</v>
      </c>
      <c r="F104" s="551">
        <f t="shared" si="7"/>
        <v>-0.0218455085634394</v>
      </c>
      <c r="G104" s="537"/>
      <c r="H104" s="549"/>
      <c r="I104" s="549"/>
      <c r="J104" s="555"/>
      <c r="K104" s="556">
        <f>上机测算!L98</f>
        <v>4005369.21</v>
      </c>
      <c r="L104" s="557" t="e">
        <f>#REF!-K104/10000</f>
        <v>#REF!</v>
      </c>
    </row>
    <row r="105" s="517" customFormat="true" customHeight="true" spans="1:12">
      <c r="A105" s="675" t="s">
        <v>59</v>
      </c>
      <c r="B105" s="536" t="str">
        <f>上机测算!K99</f>
        <v>新1#泵站电气</v>
      </c>
      <c r="C105" s="537">
        <v>216.43</v>
      </c>
      <c r="D105" s="538">
        <v>207.67</v>
      </c>
      <c r="E105" s="550">
        <f t="shared" si="6"/>
        <v>-8.76000000000002</v>
      </c>
      <c r="F105" s="551">
        <f t="shared" si="7"/>
        <v>-0.040474980363166</v>
      </c>
      <c r="G105" s="537"/>
      <c r="H105" s="549"/>
      <c r="I105" s="549"/>
      <c r="J105" s="555"/>
      <c r="K105" s="556">
        <f>上机测算!L99</f>
        <v>2164320.33</v>
      </c>
      <c r="L105" s="557" t="e">
        <f>#REF!-K105/10000</f>
        <v>#REF!</v>
      </c>
    </row>
    <row r="106" s="517" customFormat="true" customHeight="true" spans="1:12">
      <c r="A106" s="532">
        <v>2</v>
      </c>
      <c r="B106" s="533" t="s">
        <v>60</v>
      </c>
      <c r="C106" s="534">
        <v>593.25</v>
      </c>
      <c r="D106" s="540">
        <f>SUM(D107:D111)</f>
        <v>589.67</v>
      </c>
      <c r="E106" s="545">
        <f t="shared" si="6"/>
        <v>-3.57999999999993</v>
      </c>
      <c r="F106" s="546">
        <f t="shared" si="7"/>
        <v>-0.00603455541508627</v>
      </c>
      <c r="G106" s="537"/>
      <c r="H106" s="549"/>
      <c r="I106" s="549"/>
      <c r="J106" s="555"/>
      <c r="K106" s="556">
        <f>上机测算!L100</f>
        <v>5942923.36</v>
      </c>
      <c r="L106" s="557" t="e">
        <f>#REF!-K106/10000</f>
        <v>#REF!</v>
      </c>
    </row>
    <row r="107" s="517" customFormat="true" customHeight="true" spans="1:12">
      <c r="A107" s="675" t="s">
        <v>61</v>
      </c>
      <c r="B107" s="536" t="str">
        <f>上机测算!K101</f>
        <v>新2#泵站（原7#）设备基础</v>
      </c>
      <c r="C107" s="537">
        <v>12.2</v>
      </c>
      <c r="D107" s="538">
        <v>12.19</v>
      </c>
      <c r="E107" s="550">
        <f t="shared" si="6"/>
        <v>-0.00999999999999979</v>
      </c>
      <c r="F107" s="551">
        <f t="shared" si="7"/>
        <v>-0.000819672131147524</v>
      </c>
      <c r="G107" s="537"/>
      <c r="H107" s="549"/>
      <c r="I107" s="549"/>
      <c r="J107" s="555"/>
      <c r="K107" s="556">
        <f>上机测算!L101</f>
        <v>121982.52</v>
      </c>
      <c r="L107" s="557" t="e">
        <f>#REF!-K107/10000</f>
        <v>#REF!</v>
      </c>
    </row>
    <row r="108" s="517" customFormat="true" customHeight="true" spans="1:12">
      <c r="A108" s="675" t="s">
        <v>62</v>
      </c>
      <c r="B108" s="536" t="str">
        <f>上机测算!K102</f>
        <v>新2#泵站（原7#）厂平</v>
      </c>
      <c r="C108" s="537">
        <v>7.31</v>
      </c>
      <c r="D108" s="538">
        <v>7.27</v>
      </c>
      <c r="E108" s="550">
        <f t="shared" si="6"/>
        <v>-0.04</v>
      </c>
      <c r="F108" s="551">
        <f t="shared" si="7"/>
        <v>-0.00547195622435021</v>
      </c>
      <c r="G108" s="537"/>
      <c r="H108" s="549"/>
      <c r="I108" s="549"/>
      <c r="J108" s="555"/>
      <c r="K108" s="556">
        <f>上机测算!L102</f>
        <v>83518.81</v>
      </c>
      <c r="L108" s="557"/>
    </row>
    <row r="109" s="517" customFormat="true" customHeight="true" spans="1:12">
      <c r="A109" s="675" t="s">
        <v>63</v>
      </c>
      <c r="B109" s="536" t="str">
        <f>上机测算!K103</f>
        <v>新2#泵站（原7#）厂平管配件</v>
      </c>
      <c r="C109" s="537">
        <v>22.63</v>
      </c>
      <c r="D109" s="538">
        <v>21.65</v>
      </c>
      <c r="E109" s="550">
        <f t="shared" si="6"/>
        <v>-0.98</v>
      </c>
      <c r="F109" s="551">
        <f t="shared" si="7"/>
        <v>-0.0433053468846664</v>
      </c>
      <c r="G109" s="537"/>
      <c r="H109" s="549"/>
      <c r="I109" s="549"/>
      <c r="J109" s="555"/>
      <c r="K109" s="556">
        <f>上机测算!L103</f>
        <v>226315.9</v>
      </c>
      <c r="L109" s="557" t="e">
        <f>#REF!-K109/10000</f>
        <v>#REF!</v>
      </c>
    </row>
    <row r="110" s="517" customFormat="true" customHeight="true" spans="1:12">
      <c r="A110" s="675" t="s">
        <v>64</v>
      </c>
      <c r="B110" s="536" t="str">
        <f>上机测算!K104</f>
        <v>新2#泵站（原7#）设备</v>
      </c>
      <c r="C110" s="537">
        <v>518.69</v>
      </c>
      <c r="D110" s="538">
        <v>518.32</v>
      </c>
      <c r="E110" s="550">
        <f t="shared" si="6"/>
        <v>-0.370000000000005</v>
      </c>
      <c r="F110" s="551">
        <f t="shared" si="7"/>
        <v>-0.00071333551832502</v>
      </c>
      <c r="G110" s="537" t="s">
        <v>42</v>
      </c>
      <c r="H110" s="549">
        <v>5000</v>
      </c>
      <c r="I110" s="549">
        <f t="shared" si="3"/>
        <v>1036.64</v>
      </c>
      <c r="J110" s="555"/>
      <c r="K110" s="556">
        <f>上机测算!L104</f>
        <v>5186895.47</v>
      </c>
      <c r="L110" s="557" t="e">
        <f>#REF!-K110/10000</f>
        <v>#REF!</v>
      </c>
    </row>
    <row r="111" s="517" customFormat="true" customHeight="true" spans="1:12">
      <c r="A111" s="675" t="s">
        <v>65</v>
      </c>
      <c r="B111" s="536" t="str">
        <f>上机测算!K105</f>
        <v>新2#泵站电气</v>
      </c>
      <c r="C111" s="537">
        <v>32.42</v>
      </c>
      <c r="D111" s="538">
        <v>30.24</v>
      </c>
      <c r="E111" s="550">
        <f t="shared" si="6"/>
        <v>-2.18</v>
      </c>
      <c r="F111" s="551">
        <f t="shared" si="7"/>
        <v>-0.0672424429364591</v>
      </c>
      <c r="G111" s="537"/>
      <c r="H111" s="549"/>
      <c r="I111" s="549"/>
      <c r="J111" s="555"/>
      <c r="K111" s="556">
        <f>上机测算!L105</f>
        <v>324210.66</v>
      </c>
      <c r="L111" s="557" t="e">
        <f>#REF!-K111/10000</f>
        <v>#REF!</v>
      </c>
    </row>
    <row r="112" s="517" customFormat="true" customHeight="true" spans="1:12">
      <c r="A112" s="532">
        <v>3</v>
      </c>
      <c r="B112" s="533" t="s">
        <v>66</v>
      </c>
      <c r="C112" s="534">
        <v>1831.54</v>
      </c>
      <c r="D112" s="540">
        <f>SUM(D113:D121)</f>
        <v>1749.66</v>
      </c>
      <c r="E112" s="545">
        <f t="shared" si="6"/>
        <v>-81.8800000000001</v>
      </c>
      <c r="F112" s="546">
        <f t="shared" si="7"/>
        <v>-0.0447055483363727</v>
      </c>
      <c r="G112" s="537"/>
      <c r="H112" s="549"/>
      <c r="I112" s="549"/>
      <c r="J112" s="555"/>
      <c r="K112" s="556">
        <f>上机测算!L106</f>
        <v>19671443.7</v>
      </c>
      <c r="L112" s="557" t="e">
        <f>#REF!-K112/10000</f>
        <v>#REF!</v>
      </c>
    </row>
    <row r="113" s="517" customFormat="true" customHeight="true" spans="1:12">
      <c r="A113" s="675" t="s">
        <v>67</v>
      </c>
      <c r="B113" s="536" t="str">
        <f>上机测算!K107</f>
        <v>3#泵站增压泵房</v>
      </c>
      <c r="C113" s="537">
        <v>153.73</v>
      </c>
      <c r="D113" s="538">
        <v>153.49</v>
      </c>
      <c r="E113" s="550">
        <f t="shared" si="6"/>
        <v>-0.239999999999981</v>
      </c>
      <c r="F113" s="551">
        <f t="shared" si="7"/>
        <v>-0.00156117868991076</v>
      </c>
      <c r="G113" s="537" t="s">
        <v>31</v>
      </c>
      <c r="H113" s="549">
        <f>27.3*14.48*5.3</f>
        <v>2095.1112</v>
      </c>
      <c r="I113" s="549">
        <f t="shared" ref="I113:I141" si="10">D113*10000/H113</f>
        <v>732.61027863342</v>
      </c>
      <c r="J113" s="555"/>
      <c r="K113" s="556">
        <f>上机测算!L107</f>
        <v>1537276.82</v>
      </c>
      <c r="L113" s="557" t="e">
        <f>#REF!-K113/10000</f>
        <v>#REF!</v>
      </c>
    </row>
    <row r="114" s="517" customFormat="true" customHeight="true" spans="1:12">
      <c r="A114" s="675" t="s">
        <v>68</v>
      </c>
      <c r="B114" s="536" t="str">
        <f>上机测算!K108</f>
        <v>3#泵站建筑物</v>
      </c>
      <c r="C114" s="537">
        <v>291.54</v>
      </c>
      <c r="D114" s="538">
        <v>291.27</v>
      </c>
      <c r="E114" s="550">
        <f t="shared" si="6"/>
        <v>-0.270000000000039</v>
      </c>
      <c r="F114" s="551">
        <f t="shared" si="7"/>
        <v>-0.000926116484873563</v>
      </c>
      <c r="G114" s="537" t="s">
        <v>32</v>
      </c>
      <c r="H114" s="549">
        <f>27.3*14.48</f>
        <v>395.304</v>
      </c>
      <c r="I114" s="549">
        <f t="shared" si="10"/>
        <v>7368.25329366766</v>
      </c>
      <c r="J114" s="555"/>
      <c r="K114" s="556">
        <f>上机测算!L108</f>
        <v>2915449.42</v>
      </c>
      <c r="L114" s="557" t="e">
        <f>#REF!-K114/10000</f>
        <v>#REF!</v>
      </c>
    </row>
    <row r="115" s="517" customFormat="true" customHeight="true" spans="1:12">
      <c r="A115" s="675" t="s">
        <v>69</v>
      </c>
      <c r="B115" s="536" t="str">
        <f>上机测算!K109</f>
        <v>地基处理</v>
      </c>
      <c r="C115" s="537">
        <v>69.07</v>
      </c>
      <c r="D115" s="538">
        <v>65.03</v>
      </c>
      <c r="E115" s="550">
        <f t="shared" si="6"/>
        <v>-4.03999999999999</v>
      </c>
      <c r="F115" s="551">
        <f t="shared" si="7"/>
        <v>-0.0584913855508903</v>
      </c>
      <c r="G115" s="537"/>
      <c r="H115" s="549"/>
      <c r="I115" s="549"/>
      <c r="J115" s="555"/>
      <c r="K115" s="556">
        <f>上机测算!L109</f>
        <v>1767657.67</v>
      </c>
      <c r="L115" s="557"/>
    </row>
    <row r="116" s="517" customFormat="true" customHeight="true" spans="1:12">
      <c r="A116" s="675" t="s">
        <v>70</v>
      </c>
      <c r="B116" s="536" t="str">
        <f>上机测算!K110</f>
        <v>基坑围护</v>
      </c>
      <c r="C116" s="537">
        <v>26.19</v>
      </c>
      <c r="D116" s="538">
        <v>25.82</v>
      </c>
      <c r="E116" s="550">
        <f t="shared" si="6"/>
        <v>-0.370000000000001</v>
      </c>
      <c r="F116" s="551">
        <f t="shared" si="7"/>
        <v>-0.0141275295914472</v>
      </c>
      <c r="G116" s="537"/>
      <c r="H116" s="549"/>
      <c r="I116" s="549"/>
      <c r="J116" s="555"/>
      <c r="K116" s="556">
        <f>上机测算!L110</f>
        <v>261897.47</v>
      </c>
      <c r="L116" s="557"/>
    </row>
    <row r="117" s="517" customFormat="true" customHeight="true" spans="1:12">
      <c r="A117" s="675" t="s">
        <v>71</v>
      </c>
      <c r="B117" s="536" t="str">
        <f>上机测算!K111</f>
        <v>3#泵站厂平</v>
      </c>
      <c r="C117" s="537">
        <v>145.05</v>
      </c>
      <c r="D117" s="538">
        <v>89.78</v>
      </c>
      <c r="E117" s="550">
        <f t="shared" si="6"/>
        <v>-55.27</v>
      </c>
      <c r="F117" s="551">
        <f t="shared" si="7"/>
        <v>-0.381041020337815</v>
      </c>
      <c r="G117" s="537"/>
      <c r="H117" s="549"/>
      <c r="I117" s="549"/>
      <c r="J117" s="555"/>
      <c r="K117" s="556">
        <f>上机测算!L111</f>
        <v>1729585.31</v>
      </c>
      <c r="L117" s="557"/>
    </row>
    <row r="118" s="517" customFormat="true" customHeight="true" spans="1:12">
      <c r="A118" s="675" t="s">
        <v>72</v>
      </c>
      <c r="B118" s="536" t="str">
        <f>上机测算!K112</f>
        <v>3#泵站厂平管配件</v>
      </c>
      <c r="C118" s="537">
        <v>66.32</v>
      </c>
      <c r="D118" s="538">
        <v>65.89</v>
      </c>
      <c r="E118" s="550">
        <f t="shared" si="6"/>
        <v>-0.429999999999993</v>
      </c>
      <c r="F118" s="551">
        <f t="shared" si="7"/>
        <v>-0.00648371531966213</v>
      </c>
      <c r="G118" s="537"/>
      <c r="H118" s="549"/>
      <c r="I118" s="549"/>
      <c r="J118" s="555"/>
      <c r="K118" s="556">
        <f>上机测算!L112</f>
        <v>663172.12</v>
      </c>
      <c r="L118" s="557" t="e">
        <f>#REF!-K118/10000</f>
        <v>#REF!</v>
      </c>
    </row>
    <row r="119" s="517" customFormat="true" customHeight="true" spans="1:12">
      <c r="A119" s="675" t="s">
        <v>73</v>
      </c>
      <c r="B119" s="536" t="str">
        <f>上机测算!K113</f>
        <v>3#泵站设备</v>
      </c>
      <c r="C119" s="537">
        <v>648.54</v>
      </c>
      <c r="D119" s="538">
        <v>645.26</v>
      </c>
      <c r="E119" s="550">
        <f t="shared" si="6"/>
        <v>-3.27999999999997</v>
      </c>
      <c r="F119" s="551">
        <f t="shared" si="7"/>
        <v>-0.00505751380022816</v>
      </c>
      <c r="G119" s="537" t="s">
        <v>42</v>
      </c>
      <c r="H119" s="549">
        <v>33000</v>
      </c>
      <c r="I119" s="549">
        <f t="shared" si="10"/>
        <v>195.533333333333</v>
      </c>
      <c r="J119" s="555"/>
      <c r="K119" s="556">
        <f>上机测算!L113</f>
        <v>6485415.26</v>
      </c>
      <c r="L119" s="557" t="e">
        <f>#REF!-K119/10000</f>
        <v>#REF!</v>
      </c>
    </row>
    <row r="120" s="517" customFormat="true" customHeight="true" spans="1:12">
      <c r="A120" s="675" t="s">
        <v>74</v>
      </c>
      <c r="B120" s="536" t="str">
        <f>上机测算!K114</f>
        <v>3#泵站自控</v>
      </c>
      <c r="C120" s="537">
        <v>284.03</v>
      </c>
      <c r="D120" s="538">
        <v>274.79</v>
      </c>
      <c r="E120" s="550">
        <f t="shared" si="6"/>
        <v>-9.23999999999995</v>
      </c>
      <c r="F120" s="551">
        <f t="shared" si="7"/>
        <v>-0.0325317748125196</v>
      </c>
      <c r="G120" s="537"/>
      <c r="H120" s="549"/>
      <c r="I120" s="549"/>
      <c r="J120" s="555"/>
      <c r="K120" s="556">
        <f>上机测算!L114</f>
        <v>2840291.46</v>
      </c>
      <c r="L120" s="557" t="e">
        <f>#REF!-K120/10000</f>
        <v>#REF!</v>
      </c>
    </row>
    <row r="121" s="517" customFormat="true" customHeight="true" spans="1:12">
      <c r="A121" s="675" t="s">
        <v>75</v>
      </c>
      <c r="B121" s="536" t="str">
        <f>上机测算!K115</f>
        <v>3#泵站电气</v>
      </c>
      <c r="C121" s="537">
        <v>147.07</v>
      </c>
      <c r="D121" s="538">
        <v>138.33</v>
      </c>
      <c r="E121" s="550">
        <f t="shared" si="6"/>
        <v>-8.73999999999998</v>
      </c>
      <c r="F121" s="551">
        <f t="shared" si="7"/>
        <v>-0.059427483511253</v>
      </c>
      <c r="G121" s="537"/>
      <c r="H121" s="549"/>
      <c r="I121" s="549"/>
      <c r="J121" s="555"/>
      <c r="K121" s="556">
        <f>上机测算!L115</f>
        <v>1470698.17</v>
      </c>
      <c r="L121" s="557" t="e">
        <f>#REF!-K121/10000</f>
        <v>#REF!</v>
      </c>
    </row>
    <row r="122" s="517" customFormat="true" customHeight="true" spans="1:12">
      <c r="A122" s="532">
        <v>4</v>
      </c>
      <c r="B122" s="533" t="s">
        <v>76</v>
      </c>
      <c r="C122" s="534">
        <v>1362.94</v>
      </c>
      <c r="D122" s="540">
        <f>SUM(D123:D132)</f>
        <v>1272.31</v>
      </c>
      <c r="E122" s="545">
        <f t="shared" si="6"/>
        <v>-90.6299999999999</v>
      </c>
      <c r="F122" s="546">
        <f t="shared" si="7"/>
        <v>-0.0664959572688452</v>
      </c>
      <c r="G122" s="537"/>
      <c r="H122" s="549"/>
      <c r="I122" s="549"/>
      <c r="J122" s="555"/>
      <c r="K122" s="556">
        <f>上机测算!L116</f>
        <v>17097053.53</v>
      </c>
      <c r="L122" s="557" t="e">
        <f>#REF!-K122/10000</f>
        <v>#REF!</v>
      </c>
    </row>
    <row r="123" s="517" customFormat="true" customHeight="true" spans="1:12">
      <c r="A123" s="675" t="s">
        <v>77</v>
      </c>
      <c r="B123" s="536" t="str">
        <f>上机测算!K117</f>
        <v>4#泵站-清水池</v>
      </c>
      <c r="C123" s="537">
        <v>608.57</v>
      </c>
      <c r="D123" s="538">
        <v>606.92</v>
      </c>
      <c r="E123" s="550">
        <f t="shared" si="6"/>
        <v>-1.65000000000009</v>
      </c>
      <c r="F123" s="551">
        <f t="shared" si="7"/>
        <v>-0.00271127397012684</v>
      </c>
      <c r="G123" s="537" t="s">
        <v>31</v>
      </c>
      <c r="H123" s="549">
        <f>38.1*30.6*4.88</f>
        <v>5689.3968</v>
      </c>
      <c r="I123" s="549">
        <f t="shared" si="10"/>
        <v>1066.7563211622</v>
      </c>
      <c r="J123" s="555"/>
      <c r="K123" s="556">
        <f>上机测算!L117</f>
        <v>6530393.82</v>
      </c>
      <c r="L123" s="557" t="e">
        <f>#REF!-K123/10000</f>
        <v>#REF!</v>
      </c>
    </row>
    <row r="124" s="517" customFormat="true" customHeight="true" spans="1:12">
      <c r="A124" s="675" t="s">
        <v>78</v>
      </c>
      <c r="B124" s="536" t="str">
        <f>上机测算!K118</f>
        <v>4#泵站-加药间</v>
      </c>
      <c r="C124" s="537">
        <v>22.45</v>
      </c>
      <c r="D124" s="538">
        <v>21.83</v>
      </c>
      <c r="E124" s="550">
        <f t="shared" si="6"/>
        <v>-0.620000000000001</v>
      </c>
      <c r="F124" s="551">
        <f t="shared" si="7"/>
        <v>-0.0276169265033408</v>
      </c>
      <c r="G124" s="537" t="s">
        <v>32</v>
      </c>
      <c r="H124" s="549">
        <f>4.76*3.86</f>
        <v>18.3736</v>
      </c>
      <c r="I124" s="549">
        <f t="shared" si="10"/>
        <v>11881.1773414029</v>
      </c>
      <c r="J124" s="555"/>
      <c r="K124" s="556">
        <f>上机测算!L118</f>
        <v>223878.35</v>
      </c>
      <c r="L124" s="557"/>
    </row>
    <row r="125" s="517" customFormat="true" customHeight="true" spans="1:12">
      <c r="A125" s="675" t="s">
        <v>79</v>
      </c>
      <c r="B125" s="536" t="str">
        <f>上机测算!K119</f>
        <v>4#泵站-次氯酸钠储存池</v>
      </c>
      <c r="C125" s="537">
        <v>9.67</v>
      </c>
      <c r="D125" s="538">
        <v>9.52</v>
      </c>
      <c r="E125" s="550">
        <f t="shared" si="6"/>
        <v>-0.15</v>
      </c>
      <c r="F125" s="551">
        <f t="shared" si="7"/>
        <v>-0.015511892450879</v>
      </c>
      <c r="G125" s="537" t="s">
        <v>31</v>
      </c>
      <c r="H125" s="549">
        <f>4.5*2.5*2.3</f>
        <v>25.875</v>
      </c>
      <c r="I125" s="549">
        <f t="shared" si="10"/>
        <v>3679.2270531401</v>
      </c>
      <c r="J125" s="555"/>
      <c r="K125" s="556">
        <f>上机测算!L119</f>
        <v>95414.68</v>
      </c>
      <c r="L125" s="557"/>
    </row>
    <row r="126" s="517" customFormat="true" customHeight="true" spans="1:12">
      <c r="A126" s="675" t="s">
        <v>80</v>
      </c>
      <c r="B126" s="536" t="str">
        <f>上机测算!K120</f>
        <v>地基处理</v>
      </c>
      <c r="C126" s="537">
        <v>20.8</v>
      </c>
      <c r="D126" s="538">
        <v>16.48</v>
      </c>
      <c r="E126" s="550">
        <f t="shared" si="6"/>
        <v>-4.32</v>
      </c>
      <c r="F126" s="551">
        <f t="shared" si="7"/>
        <v>-0.207692307692308</v>
      </c>
      <c r="G126" s="559"/>
      <c r="H126" s="559"/>
      <c r="I126" s="549"/>
      <c r="J126" s="537">
        <f>SUM(C126:I126)</f>
        <v>32.7523076923077</v>
      </c>
      <c r="K126" s="556">
        <f>上机测算!L120</f>
        <v>2844344.44</v>
      </c>
      <c r="L126" s="557"/>
    </row>
    <row r="127" s="517" customFormat="true" customHeight="true" spans="1:12">
      <c r="A127" s="675" t="s">
        <v>81</v>
      </c>
      <c r="B127" s="536" t="str">
        <f>上机测算!K121</f>
        <v>基坑围护</v>
      </c>
      <c r="C127" s="537">
        <v>24.54</v>
      </c>
      <c r="D127" s="538">
        <v>22.9</v>
      </c>
      <c r="E127" s="550">
        <f t="shared" si="6"/>
        <v>-1.64</v>
      </c>
      <c r="F127" s="551">
        <f t="shared" si="7"/>
        <v>-0.0668296658516708</v>
      </c>
      <c r="G127" s="559"/>
      <c r="H127" s="559"/>
      <c r="I127" s="549"/>
      <c r="J127" s="537">
        <f>SUM(C127:I127)</f>
        <v>45.7331703341483</v>
      </c>
      <c r="K127" s="556">
        <f>上机测算!L121</f>
        <v>245415.76</v>
      </c>
      <c r="L127" s="557"/>
    </row>
    <row r="128" s="517" customFormat="true" customHeight="true" spans="1:12">
      <c r="A128" s="675" t="s">
        <v>82</v>
      </c>
      <c r="B128" s="536" t="str">
        <f>上机测算!K122</f>
        <v>4#泵站厂平</v>
      </c>
      <c r="C128" s="537">
        <v>219.18</v>
      </c>
      <c r="D128" s="538">
        <v>140.05</v>
      </c>
      <c r="E128" s="550">
        <f t="shared" si="6"/>
        <v>-79.13</v>
      </c>
      <c r="F128" s="551">
        <f t="shared" si="7"/>
        <v>-0.361027466009672</v>
      </c>
      <c r="G128" s="537"/>
      <c r="H128" s="549"/>
      <c r="I128" s="549"/>
      <c r="J128" s="555"/>
      <c r="K128" s="556">
        <f>上机测算!L122</f>
        <v>2580323.72</v>
      </c>
      <c r="L128" s="557"/>
    </row>
    <row r="129" s="517" customFormat="true" customHeight="true" spans="1:12">
      <c r="A129" s="675" t="s">
        <v>83</v>
      </c>
      <c r="B129" s="536" t="str">
        <f>上机测算!K123</f>
        <v>4#泵站厂平管配件</v>
      </c>
      <c r="C129" s="537">
        <v>68.9</v>
      </c>
      <c r="D129" s="538">
        <v>68.38</v>
      </c>
      <c r="E129" s="550">
        <f t="shared" si="6"/>
        <v>-0.52000000000001</v>
      </c>
      <c r="F129" s="551">
        <f t="shared" si="7"/>
        <v>-0.0075471698113209</v>
      </c>
      <c r="G129" s="537"/>
      <c r="H129" s="549"/>
      <c r="I129" s="549"/>
      <c r="J129" s="555"/>
      <c r="K129" s="556">
        <f>上机测算!L123</f>
        <v>688955.54</v>
      </c>
      <c r="L129" s="557" t="e">
        <f>#REF!-K129/10000</f>
        <v>#REF!</v>
      </c>
    </row>
    <row r="130" s="517" customFormat="true" customHeight="true" spans="1:12">
      <c r="A130" s="675" t="s">
        <v>84</v>
      </c>
      <c r="B130" s="536" t="str">
        <f>上机测算!K124</f>
        <v>4#泵站泵站设备</v>
      </c>
      <c r="C130" s="537">
        <v>176.91</v>
      </c>
      <c r="D130" s="538">
        <v>175.81</v>
      </c>
      <c r="E130" s="550">
        <f t="shared" si="6"/>
        <v>-1.09999999999999</v>
      </c>
      <c r="F130" s="551">
        <f t="shared" si="7"/>
        <v>-0.00621785088463057</v>
      </c>
      <c r="G130" s="537"/>
      <c r="H130" s="549"/>
      <c r="I130" s="549"/>
      <c r="J130" s="555"/>
      <c r="K130" s="556">
        <f>上机测算!L124</f>
        <v>1769117.5</v>
      </c>
      <c r="L130" s="557" t="e">
        <f>#REF!-K130/10000</f>
        <v>#REF!</v>
      </c>
    </row>
    <row r="131" s="517" customFormat="true" customHeight="true" spans="1:12">
      <c r="A131" s="675" t="s">
        <v>85</v>
      </c>
      <c r="B131" s="536" t="str">
        <f>上机测算!K125</f>
        <v>4#泵站泵站自控</v>
      </c>
      <c r="C131" s="537">
        <v>185.55</v>
      </c>
      <c r="D131" s="538">
        <v>184.22</v>
      </c>
      <c r="E131" s="550">
        <f t="shared" si="6"/>
        <v>-1.33000000000001</v>
      </c>
      <c r="F131" s="551">
        <f t="shared" si="7"/>
        <v>-0.00716787927782276</v>
      </c>
      <c r="G131" s="537"/>
      <c r="H131" s="549"/>
      <c r="I131" s="549"/>
      <c r="J131" s="555"/>
      <c r="K131" s="556">
        <f>上机测算!L125</f>
        <v>1855488.99</v>
      </c>
      <c r="L131" s="557" t="e">
        <f>#REF!-K131/10000</f>
        <v>#REF!</v>
      </c>
    </row>
    <row r="132" s="517" customFormat="true" customHeight="true" spans="1:12">
      <c r="A132" s="675" t="s">
        <v>86</v>
      </c>
      <c r="B132" s="536" t="str">
        <f>上机测算!K126</f>
        <v>4#泵站泵站电气</v>
      </c>
      <c r="C132" s="537">
        <v>26.37</v>
      </c>
      <c r="D132" s="538">
        <v>26.2</v>
      </c>
      <c r="E132" s="550">
        <f t="shared" si="6"/>
        <v>-0.170000000000002</v>
      </c>
      <c r="F132" s="551">
        <f t="shared" si="7"/>
        <v>-0.00644671975730003</v>
      </c>
      <c r="G132" s="537"/>
      <c r="H132" s="549"/>
      <c r="I132" s="549"/>
      <c r="J132" s="555"/>
      <c r="K132" s="556">
        <f>上机测算!L126</f>
        <v>263720.73</v>
      </c>
      <c r="L132" s="557" t="e">
        <f>#REF!-K132/10000</f>
        <v>#REF!</v>
      </c>
    </row>
    <row r="133" s="517" customFormat="true" customHeight="true" spans="1:12">
      <c r="A133" s="532">
        <v>5</v>
      </c>
      <c r="B133" s="533" t="s">
        <v>87</v>
      </c>
      <c r="C133" s="534">
        <v>339.48</v>
      </c>
      <c r="D133" s="561">
        <f>SUM(D134:D138)</f>
        <v>335.67</v>
      </c>
      <c r="E133" s="545">
        <f t="shared" si="6"/>
        <v>-3.81000000000006</v>
      </c>
      <c r="F133" s="546">
        <f t="shared" si="7"/>
        <v>-0.011223047013079</v>
      </c>
      <c r="G133" s="537"/>
      <c r="H133" s="549"/>
      <c r="I133" s="549"/>
      <c r="J133" s="555"/>
      <c r="K133" s="556">
        <f>上机测算!L127</f>
        <v>3404391.87</v>
      </c>
      <c r="L133" s="557" t="e">
        <f>#REF!-K133/10000</f>
        <v>#REF!</v>
      </c>
    </row>
    <row r="134" s="517" customFormat="true" customHeight="true" spans="1:12">
      <c r="A134" s="562">
        <v>5.1</v>
      </c>
      <c r="B134" s="536" t="str">
        <f>上机测算!K128</f>
        <v>5#泵站设备基础</v>
      </c>
      <c r="C134" s="537">
        <v>9.75</v>
      </c>
      <c r="D134" s="538">
        <v>9.62</v>
      </c>
      <c r="E134" s="550">
        <f t="shared" si="6"/>
        <v>-0.130000000000001</v>
      </c>
      <c r="F134" s="551">
        <f t="shared" si="7"/>
        <v>-0.0133333333333334</v>
      </c>
      <c r="G134" s="537"/>
      <c r="H134" s="549"/>
      <c r="I134" s="549"/>
      <c r="J134" s="555"/>
      <c r="K134" s="556">
        <f>上机测算!L128</f>
        <v>95535.78</v>
      </c>
      <c r="L134" s="557" t="e">
        <f>#REF!-K134/10000</f>
        <v>#REF!</v>
      </c>
    </row>
    <row r="135" s="517" customFormat="true" customHeight="true" spans="1:12">
      <c r="A135" s="562">
        <v>5.2</v>
      </c>
      <c r="B135" s="536" t="str">
        <f>上机测算!K129</f>
        <v>5#泵站厂平</v>
      </c>
      <c r="C135" s="537">
        <v>5.26</v>
      </c>
      <c r="D135" s="538">
        <v>5.24</v>
      </c>
      <c r="E135" s="550">
        <f t="shared" ref="E135:E138" si="11">D135-C135</f>
        <v>-0.0199999999999996</v>
      </c>
      <c r="F135" s="551">
        <f t="shared" ref="F135:F138" si="12">E135/C135</f>
        <v>-0.00380228136882121</v>
      </c>
      <c r="G135" s="537"/>
      <c r="H135" s="549"/>
      <c r="I135" s="549"/>
      <c r="J135" s="555"/>
      <c r="K135" s="556">
        <f>上机测算!L129</f>
        <v>64107.97</v>
      </c>
      <c r="L135" s="557" t="e">
        <f>#REF!-K135/10000</f>
        <v>#REF!</v>
      </c>
    </row>
    <row r="136" s="517" customFormat="true" customHeight="true" spans="1:12">
      <c r="A136" s="562">
        <v>5.3</v>
      </c>
      <c r="B136" s="536" t="str">
        <f>上机测算!K130</f>
        <v>5#泵站厂平管配件</v>
      </c>
      <c r="C136" s="537">
        <v>6.13</v>
      </c>
      <c r="D136" s="538">
        <v>5.84</v>
      </c>
      <c r="E136" s="550">
        <f t="shared" si="11"/>
        <v>-0.29</v>
      </c>
      <c r="F136" s="551">
        <f t="shared" si="12"/>
        <v>-0.0473083197389886</v>
      </c>
      <c r="G136" s="537"/>
      <c r="H136" s="549"/>
      <c r="I136" s="549"/>
      <c r="J136" s="555"/>
      <c r="K136" s="556">
        <f>上机测算!L130</f>
        <v>61281.34</v>
      </c>
      <c r="L136" s="557" t="e">
        <f>#REF!-K136/10000</f>
        <v>#REF!</v>
      </c>
    </row>
    <row r="137" s="517" customFormat="true" customHeight="true" spans="1:12">
      <c r="A137" s="562">
        <v>5.4</v>
      </c>
      <c r="B137" s="536" t="str">
        <f>上机测算!K131</f>
        <v>5#泵站设备</v>
      </c>
      <c r="C137" s="537">
        <v>285.98</v>
      </c>
      <c r="D137" s="538">
        <v>282.71</v>
      </c>
      <c r="E137" s="550">
        <f t="shared" si="11"/>
        <v>-3.27000000000004</v>
      </c>
      <c r="F137" s="551">
        <f t="shared" si="12"/>
        <v>-0.0114343660395833</v>
      </c>
      <c r="G137" s="537" t="s">
        <v>42</v>
      </c>
      <c r="H137" s="549">
        <v>2000</v>
      </c>
      <c r="I137" s="549">
        <f t="shared" si="10"/>
        <v>1413.55</v>
      </c>
      <c r="J137" s="555"/>
      <c r="K137" s="556">
        <f>上机测算!L131</f>
        <v>2859796.78</v>
      </c>
      <c r="L137" s="557" t="e">
        <f>#REF!-K137/10000</f>
        <v>#REF!</v>
      </c>
    </row>
    <row r="138" s="517" customFormat="true" customHeight="true" spans="1:12">
      <c r="A138" s="562">
        <v>5.5</v>
      </c>
      <c r="B138" s="536" t="str">
        <f>上机测算!K132</f>
        <v>5#泵站电气</v>
      </c>
      <c r="C138" s="537">
        <v>32.37</v>
      </c>
      <c r="D138" s="538">
        <v>32.26</v>
      </c>
      <c r="E138" s="550">
        <f t="shared" si="11"/>
        <v>-0.109999999999999</v>
      </c>
      <c r="F138" s="551">
        <f t="shared" si="12"/>
        <v>-0.00339820821748531</v>
      </c>
      <c r="G138" s="537"/>
      <c r="H138" s="549"/>
      <c r="I138" s="549"/>
      <c r="J138" s="555"/>
      <c r="K138" s="556">
        <f>上机测算!L132</f>
        <v>323670</v>
      </c>
      <c r="L138" s="557"/>
    </row>
    <row r="139" s="517" customFormat="true" customHeight="true" spans="1:12">
      <c r="A139" s="535"/>
      <c r="B139" s="536"/>
      <c r="C139" s="539"/>
      <c r="D139" s="537"/>
      <c r="E139" s="545">
        <f t="shared" ref="E139:E199" si="13">D139-C139</f>
        <v>0</v>
      </c>
      <c r="F139" s="551"/>
      <c r="G139" s="537"/>
      <c r="H139" s="549"/>
      <c r="I139" s="549"/>
      <c r="J139" s="555"/>
      <c r="K139" s="556"/>
      <c r="L139" s="557" t="e">
        <f>#REF!-K139/10000</f>
        <v>#REF!</v>
      </c>
    </row>
    <row r="140" s="517" customFormat="true" customHeight="true" spans="1:11">
      <c r="A140" s="532" t="s">
        <v>88</v>
      </c>
      <c r="B140" s="533" t="s">
        <v>89</v>
      </c>
      <c r="C140" s="539">
        <f>C141</f>
        <v>664.09</v>
      </c>
      <c r="D140" s="561">
        <f>D141</f>
        <v>649.87</v>
      </c>
      <c r="E140" s="545">
        <f t="shared" si="13"/>
        <v>-14.22</v>
      </c>
      <c r="F140" s="551">
        <f t="shared" ref="F140:F144" si="14">E140/C140</f>
        <v>-0.0214127603186316</v>
      </c>
      <c r="G140" s="540"/>
      <c r="H140" s="575"/>
      <c r="I140" s="549"/>
      <c r="J140" s="582"/>
      <c r="K140" s="583"/>
    </row>
    <row r="141" s="517" customFormat="true" customHeight="true" spans="1:12">
      <c r="A141" s="675" t="s">
        <v>90</v>
      </c>
      <c r="B141" s="536" t="s">
        <v>89</v>
      </c>
      <c r="C141" s="537">
        <v>664.09</v>
      </c>
      <c r="D141" s="538">
        <v>649.87</v>
      </c>
      <c r="E141" s="550">
        <f t="shared" si="13"/>
        <v>-14.22</v>
      </c>
      <c r="F141" s="551">
        <f t="shared" si="14"/>
        <v>-0.0214127603186316</v>
      </c>
      <c r="G141" s="537" t="s">
        <v>29</v>
      </c>
      <c r="H141" s="549">
        <v>9</v>
      </c>
      <c r="I141" s="549">
        <f t="shared" si="10"/>
        <v>722077.777777778</v>
      </c>
      <c r="J141" s="555"/>
      <c r="K141" s="556">
        <f>上机测算!L134</f>
        <v>6640927.56</v>
      </c>
      <c r="L141" s="557"/>
    </row>
    <row r="142" s="517" customFormat="true" customHeight="true" spans="1:12">
      <c r="A142" s="535"/>
      <c r="B142" s="536"/>
      <c r="C142" s="537"/>
      <c r="D142" s="537"/>
      <c r="E142" s="545">
        <f t="shared" si="13"/>
        <v>0</v>
      </c>
      <c r="F142" s="551"/>
      <c r="G142" s="537"/>
      <c r="H142" s="549"/>
      <c r="I142" s="549"/>
      <c r="J142" s="555"/>
      <c r="K142" s="556"/>
      <c r="L142" s="557"/>
    </row>
    <row r="143" s="517" customFormat="true" customHeight="true" spans="1:12">
      <c r="A143" s="532" t="s">
        <v>91</v>
      </c>
      <c r="B143" s="533" t="s">
        <v>92</v>
      </c>
      <c r="C143" s="534">
        <v>1929.67</v>
      </c>
      <c r="D143" s="540">
        <f>D144</f>
        <v>1900</v>
      </c>
      <c r="E143" s="545">
        <f t="shared" si="13"/>
        <v>-29.6700000000001</v>
      </c>
      <c r="F143" s="551">
        <f t="shared" si="14"/>
        <v>-0.0153756859981241</v>
      </c>
      <c r="G143" s="537"/>
      <c r="H143" s="549"/>
      <c r="I143" s="549"/>
      <c r="J143" s="555"/>
      <c r="K143" s="556"/>
      <c r="L143" s="557"/>
    </row>
    <row r="144" s="517" customFormat="true" customHeight="true" spans="1:12">
      <c r="A144" s="535">
        <v>1</v>
      </c>
      <c r="B144" s="536" t="s">
        <v>92</v>
      </c>
      <c r="C144" s="537">
        <v>1929.67</v>
      </c>
      <c r="D144" s="537">
        <v>1900</v>
      </c>
      <c r="E144" s="550">
        <f t="shared" si="13"/>
        <v>-29.6700000000001</v>
      </c>
      <c r="F144" s="551">
        <f t="shared" si="14"/>
        <v>-0.0153756859981241</v>
      </c>
      <c r="G144" s="537" t="s">
        <v>93</v>
      </c>
      <c r="H144" s="549">
        <v>1</v>
      </c>
      <c r="I144" s="549">
        <f>D144/1</f>
        <v>1900</v>
      </c>
      <c r="J144" s="555"/>
      <c r="K144" s="556">
        <v>8726463.26</v>
      </c>
      <c r="L144" s="557"/>
    </row>
    <row r="145" s="516" customFormat="true" customHeight="true" spans="1:11">
      <c r="A145" s="563"/>
      <c r="B145" s="564"/>
      <c r="C145" s="547"/>
      <c r="D145" s="537"/>
      <c r="E145" s="545">
        <f t="shared" si="13"/>
        <v>0</v>
      </c>
      <c r="F145" s="576"/>
      <c r="G145" s="547"/>
      <c r="H145" s="563"/>
      <c r="I145" s="584"/>
      <c r="J145" s="585"/>
      <c r="K145" s="279" t="s">
        <v>94</v>
      </c>
    </row>
    <row r="146" customHeight="true" spans="1:16">
      <c r="A146" s="565"/>
      <c r="B146" s="676" t="s">
        <v>95</v>
      </c>
      <c r="C146" s="566">
        <v>125802.76</v>
      </c>
      <c r="D146" s="540">
        <f>D5</f>
        <v>123575.93</v>
      </c>
      <c r="E146" s="545">
        <f t="shared" si="13"/>
        <v>-2226.83</v>
      </c>
      <c r="F146" s="577">
        <f>E146/C146</f>
        <v>-0.0177009629995399</v>
      </c>
      <c r="G146" s="548"/>
      <c r="H146" s="578"/>
      <c r="I146" s="578"/>
      <c r="J146" s="586"/>
      <c r="K146" s="518"/>
      <c r="L146" s="587" t="e">
        <f>+(#REF!-K146)/K146</f>
        <v>#REF!</v>
      </c>
      <c r="M146" s="593" t="s">
        <v>96</v>
      </c>
      <c r="N146" s="594" t="e">
        <f>#REF!+#REF!+#REF!+#REF!</f>
        <v>#REF!</v>
      </c>
      <c r="O146" s="593"/>
      <c r="P146" s="593" t="e">
        <f>+N146/#REF!</f>
        <v>#REF!</v>
      </c>
    </row>
    <row r="147" s="516" customFormat="true" customHeight="true" spans="1:16">
      <c r="A147" s="535"/>
      <c r="B147" s="567" t="s">
        <v>97</v>
      </c>
      <c r="C147" s="566">
        <v>21661.5141334564</v>
      </c>
      <c r="D147" s="540">
        <f>D148+D149+D160+D161+D178+D179+D180+D183+D184+D187+D188+D189+D190+D196+D200+D201+D202+D203+D204+D205+D206+D207+D208+D209+D210+D211+D212+D213+D214+D215+D216+D217+D218+D219+D220+D221</f>
        <v>16476.3989110724</v>
      </c>
      <c r="E147" s="545">
        <f t="shared" si="13"/>
        <v>-5185.11522238392</v>
      </c>
      <c r="F147" s="577">
        <f t="shared" ref="F147:F199" si="15">E147/C147</f>
        <v>-0.239369934642541</v>
      </c>
      <c r="G147" s="537"/>
      <c r="H147" s="578"/>
      <c r="I147" s="549"/>
      <c r="J147" s="588"/>
      <c r="K147" s="589" t="e">
        <f>+#REF!/#REF!</f>
        <v>#REF!</v>
      </c>
      <c r="M147" s="595" t="s">
        <v>98</v>
      </c>
      <c r="N147" s="595" t="e">
        <f>#REF!+#REF!+#REF!</f>
        <v>#REF!</v>
      </c>
      <c r="O147" s="595"/>
      <c r="P147" s="595" t="e">
        <f>+O147*P146+N147</f>
        <v>#REF!</v>
      </c>
    </row>
    <row r="148" customHeight="true" spans="1:11">
      <c r="A148" s="526">
        <v>1</v>
      </c>
      <c r="B148" s="527" t="s">
        <v>99</v>
      </c>
      <c r="C148" s="547">
        <v>1165.42233358214</v>
      </c>
      <c r="D148" s="537">
        <f>940+(D241-100000)*0.4%</f>
        <v>1128.14052</v>
      </c>
      <c r="E148" s="550">
        <f t="shared" si="13"/>
        <v>-37.2818135821419</v>
      </c>
      <c r="F148" s="579">
        <f t="shared" si="15"/>
        <v>-0.0319899597835485</v>
      </c>
      <c r="G148" s="527"/>
      <c r="H148" s="580"/>
      <c r="I148" s="527"/>
      <c r="J148" s="537" t="s">
        <v>100</v>
      </c>
      <c r="K148" s="590">
        <f>(940+(152971.96-100000)*0.4%)*0.7</f>
        <v>806.321488</v>
      </c>
    </row>
    <row r="149" customHeight="true" spans="1:11">
      <c r="A149" s="526">
        <v>2</v>
      </c>
      <c r="B149" s="527" t="s">
        <v>101</v>
      </c>
      <c r="C149" s="547">
        <v>3966.4</v>
      </c>
      <c r="D149" s="537">
        <f>SUM(D150:D159)</f>
        <v>3966.4</v>
      </c>
      <c r="E149" s="569" t="s">
        <v>45</v>
      </c>
      <c r="F149" s="569" t="s">
        <v>102</v>
      </c>
      <c r="G149" s="527"/>
      <c r="H149" s="580"/>
      <c r="I149" s="527"/>
      <c r="J149" s="537" t="s">
        <v>103</v>
      </c>
      <c r="K149" s="590"/>
    </row>
    <row r="150" customHeight="true" spans="1:11">
      <c r="A150" s="568">
        <v>-1</v>
      </c>
      <c r="B150" s="527" t="s">
        <v>104</v>
      </c>
      <c r="C150" s="547">
        <v>42</v>
      </c>
      <c r="D150" s="537">
        <f t="shared" ref="D150:D159" si="16">C150</f>
        <v>42</v>
      </c>
      <c r="E150" s="569" t="s">
        <v>45</v>
      </c>
      <c r="F150" s="569" t="s">
        <v>102</v>
      </c>
      <c r="G150" s="547"/>
      <c r="H150" s="581"/>
      <c r="I150" s="580"/>
      <c r="J150" s="537"/>
      <c r="K150" s="590"/>
    </row>
    <row r="151" customHeight="true" spans="1:11">
      <c r="A151" s="568">
        <v>-2</v>
      </c>
      <c r="B151" s="527" t="s">
        <v>105</v>
      </c>
      <c r="C151" s="547">
        <v>50</v>
      </c>
      <c r="D151" s="537">
        <f t="shared" si="16"/>
        <v>50</v>
      </c>
      <c r="E151" s="569" t="s">
        <v>45</v>
      </c>
      <c r="F151" s="569" t="s">
        <v>102</v>
      </c>
      <c r="G151" s="547"/>
      <c r="H151" s="581"/>
      <c r="I151" s="580"/>
      <c r="J151" s="537" t="s">
        <v>106</v>
      </c>
      <c r="K151" s="590"/>
    </row>
    <row r="152" customHeight="true" spans="1:11">
      <c r="A152" s="568">
        <v>-3</v>
      </c>
      <c r="B152" s="527" t="s">
        <v>107</v>
      </c>
      <c r="C152" s="547">
        <v>500</v>
      </c>
      <c r="D152" s="537">
        <f t="shared" si="16"/>
        <v>500</v>
      </c>
      <c r="E152" s="569" t="s">
        <v>45</v>
      </c>
      <c r="F152" s="569" t="s">
        <v>102</v>
      </c>
      <c r="G152" s="547"/>
      <c r="H152" s="581"/>
      <c r="I152" s="580"/>
      <c r="J152" s="537" t="s">
        <v>106</v>
      </c>
      <c r="K152" s="590"/>
    </row>
    <row r="153" customHeight="true" spans="1:11">
      <c r="A153" s="568">
        <v>-4</v>
      </c>
      <c r="B153" s="527" t="s">
        <v>108</v>
      </c>
      <c r="C153" s="547">
        <v>600</v>
      </c>
      <c r="D153" s="537">
        <f t="shared" si="16"/>
        <v>600</v>
      </c>
      <c r="E153" s="569" t="s">
        <v>45</v>
      </c>
      <c r="F153" s="569" t="s">
        <v>102</v>
      </c>
      <c r="G153" s="547"/>
      <c r="H153" s="581"/>
      <c r="I153" s="580"/>
      <c r="J153" s="537" t="s">
        <v>106</v>
      </c>
      <c r="K153" s="590"/>
    </row>
    <row r="154" customHeight="true" spans="1:11">
      <c r="A154" s="568">
        <v>-5</v>
      </c>
      <c r="B154" s="527" t="s">
        <v>109</v>
      </c>
      <c r="C154" s="547">
        <v>1000</v>
      </c>
      <c r="D154" s="537">
        <f t="shared" si="16"/>
        <v>1000</v>
      </c>
      <c r="E154" s="569" t="s">
        <v>45</v>
      </c>
      <c r="F154" s="569" t="s">
        <v>102</v>
      </c>
      <c r="G154" s="547"/>
      <c r="H154" s="581"/>
      <c r="I154" s="580"/>
      <c r="J154" s="537" t="s">
        <v>106</v>
      </c>
      <c r="K154" s="590"/>
    </row>
    <row r="155" customHeight="true" spans="1:11">
      <c r="A155" s="568">
        <v>-6</v>
      </c>
      <c r="B155" s="527" t="s">
        <v>110</v>
      </c>
      <c r="C155" s="547">
        <v>200</v>
      </c>
      <c r="D155" s="537">
        <f t="shared" si="16"/>
        <v>200</v>
      </c>
      <c r="E155" s="569" t="s">
        <v>45</v>
      </c>
      <c r="F155" s="569" t="s">
        <v>102</v>
      </c>
      <c r="G155" s="547"/>
      <c r="H155" s="581"/>
      <c r="I155" s="580"/>
      <c r="J155" s="537" t="s">
        <v>106</v>
      </c>
      <c r="K155" s="590"/>
    </row>
    <row r="156" customHeight="true" spans="1:11">
      <c r="A156" s="568">
        <v>-7</v>
      </c>
      <c r="B156" s="527" t="s">
        <v>111</v>
      </c>
      <c r="C156" s="547">
        <v>180</v>
      </c>
      <c r="D156" s="537">
        <f t="shared" si="16"/>
        <v>180</v>
      </c>
      <c r="E156" s="569" t="s">
        <v>45</v>
      </c>
      <c r="F156" s="569" t="s">
        <v>102</v>
      </c>
      <c r="G156" s="547"/>
      <c r="H156" s="581"/>
      <c r="I156" s="580"/>
      <c r="J156" s="537" t="s">
        <v>106</v>
      </c>
      <c r="K156" s="590"/>
    </row>
    <row r="157" customHeight="true" spans="1:11">
      <c r="A157" s="568">
        <v>-8</v>
      </c>
      <c r="B157" s="527" t="s">
        <v>112</v>
      </c>
      <c r="C157" s="547">
        <v>200</v>
      </c>
      <c r="D157" s="537">
        <f t="shared" si="16"/>
        <v>200</v>
      </c>
      <c r="E157" s="569" t="s">
        <v>45</v>
      </c>
      <c r="F157" s="569" t="s">
        <v>102</v>
      </c>
      <c r="G157" s="547"/>
      <c r="H157" s="581"/>
      <c r="I157" s="580"/>
      <c r="J157" s="537" t="s">
        <v>106</v>
      </c>
      <c r="K157" s="590"/>
    </row>
    <row r="158" customHeight="true" spans="1:11">
      <c r="A158" s="568">
        <v>-9</v>
      </c>
      <c r="B158" s="527" t="s">
        <v>113</v>
      </c>
      <c r="C158" s="547">
        <v>1144.4</v>
      </c>
      <c r="D158" s="537">
        <f t="shared" si="16"/>
        <v>1144.4</v>
      </c>
      <c r="E158" s="569" t="s">
        <v>45</v>
      </c>
      <c r="F158" s="569" t="s">
        <v>102</v>
      </c>
      <c r="G158" s="527" t="s">
        <v>114</v>
      </c>
      <c r="H158" s="527">
        <f>1744+564+451+102</f>
        <v>2861</v>
      </c>
      <c r="I158" s="527">
        <v>4000</v>
      </c>
      <c r="J158" s="537" t="s">
        <v>106</v>
      </c>
      <c r="K158" s="590"/>
    </row>
    <row r="159" customHeight="true" spans="1:11">
      <c r="A159" s="568">
        <v>-10</v>
      </c>
      <c r="B159" s="527" t="s">
        <v>115</v>
      </c>
      <c r="C159" s="547">
        <v>50</v>
      </c>
      <c r="D159" s="537">
        <f t="shared" si="16"/>
        <v>50</v>
      </c>
      <c r="E159" s="569" t="s">
        <v>45</v>
      </c>
      <c r="F159" s="569" t="s">
        <v>102</v>
      </c>
      <c r="G159" s="527"/>
      <c r="H159" s="527"/>
      <c r="I159" s="527"/>
      <c r="J159" s="537" t="s">
        <v>106</v>
      </c>
      <c r="K159" s="590"/>
    </row>
    <row r="160" customHeight="true" spans="1:11">
      <c r="A160" s="526">
        <v>3</v>
      </c>
      <c r="B160" s="527" t="s">
        <v>116</v>
      </c>
      <c r="C160" s="547">
        <v>1258.03</v>
      </c>
      <c r="D160" s="537">
        <f>D5*0.5%</f>
        <v>617.87965</v>
      </c>
      <c r="E160" s="550">
        <f t="shared" si="13"/>
        <v>-640.15035</v>
      </c>
      <c r="F160" s="579">
        <f t="shared" si="15"/>
        <v>-0.508851418487635</v>
      </c>
      <c r="G160" s="527"/>
      <c r="H160" s="527"/>
      <c r="I160" s="527"/>
      <c r="J160" s="537" t="s">
        <v>117</v>
      </c>
      <c r="K160" s="522"/>
    </row>
    <row r="161" customHeight="true" spans="1:11">
      <c r="A161" s="526">
        <v>4</v>
      </c>
      <c r="B161" s="527" t="s">
        <v>118</v>
      </c>
      <c r="C161" s="547">
        <f>SUM(C162:C177)</f>
        <v>159.709172354432</v>
      </c>
      <c r="D161" s="537">
        <f>SUM(D162:D177)</f>
        <v>103.83755709648</v>
      </c>
      <c r="E161" s="550">
        <f t="shared" si="13"/>
        <v>-55.8716152579522</v>
      </c>
      <c r="F161" s="579">
        <f t="shared" si="15"/>
        <v>-0.349833478154655</v>
      </c>
      <c r="G161" s="527"/>
      <c r="H161" s="527"/>
      <c r="I161" s="527"/>
      <c r="J161" s="537"/>
      <c r="K161" s="522"/>
    </row>
    <row r="162" customHeight="true" spans="1:11">
      <c r="A162" s="568">
        <v>-1</v>
      </c>
      <c r="B162" s="527" t="s">
        <v>119</v>
      </c>
      <c r="C162" s="547">
        <v>7.91</v>
      </c>
      <c r="D162" s="537">
        <f>100*1.5%+400*0.8%+500*0.45%+(D185-1000)*0.25%</f>
        <v>6.8288366525</v>
      </c>
      <c r="E162" s="550">
        <f t="shared" si="13"/>
        <v>-1.0811633475</v>
      </c>
      <c r="F162" s="579">
        <f t="shared" si="15"/>
        <v>-0.13668310335019</v>
      </c>
      <c r="G162" s="527"/>
      <c r="H162" s="527"/>
      <c r="I162" s="527"/>
      <c r="J162" s="537" t="s">
        <v>120</v>
      </c>
      <c r="K162" s="590" t="e">
        <f>+#REF!</f>
        <v>#REF!</v>
      </c>
    </row>
    <row r="163" customHeight="true" spans="1:11">
      <c r="A163" s="568">
        <v>-2</v>
      </c>
      <c r="B163" s="527" t="s">
        <v>121</v>
      </c>
      <c r="C163" s="547">
        <v>8.83</v>
      </c>
      <c r="D163" s="537">
        <f>100*1.5%+400*0.8%+500*0.45%+(D187-1000)*0.25%</f>
        <v>10.2429067307173</v>
      </c>
      <c r="E163" s="550">
        <f t="shared" si="13"/>
        <v>1.41290673071731</v>
      </c>
      <c r="F163" s="579">
        <f t="shared" si="15"/>
        <v>0.160012087283954</v>
      </c>
      <c r="G163" s="527"/>
      <c r="H163" s="527"/>
      <c r="I163" s="527"/>
      <c r="J163" s="537" t="s">
        <v>120</v>
      </c>
      <c r="K163" s="590" t="e">
        <f>+#REF!</f>
        <v>#REF!</v>
      </c>
    </row>
    <row r="164" customHeight="true" spans="1:11">
      <c r="A164" s="568">
        <v>-3</v>
      </c>
      <c r="B164" s="527" t="s">
        <v>122</v>
      </c>
      <c r="C164" s="547">
        <v>9</v>
      </c>
      <c r="D164" s="537">
        <f>100*1.5%+400*0.8%+500*0.45%+(D179-1000)*0.25%</f>
        <v>7.5846137132625</v>
      </c>
      <c r="E164" s="550">
        <f t="shared" si="13"/>
        <v>-1.4153862867375</v>
      </c>
      <c r="F164" s="579">
        <f t="shared" si="15"/>
        <v>-0.157265142970833</v>
      </c>
      <c r="G164" s="527"/>
      <c r="H164" s="527"/>
      <c r="I164" s="527"/>
      <c r="J164" s="537" t="s">
        <v>120</v>
      </c>
      <c r="K164" s="590" t="e">
        <f>+#REF!</f>
        <v>#REF!</v>
      </c>
    </row>
    <row r="165" customHeight="true" spans="1:11">
      <c r="A165" s="568">
        <v>-4</v>
      </c>
      <c r="B165" s="527" t="s">
        <v>123</v>
      </c>
      <c r="C165" s="547">
        <v>70.11</v>
      </c>
      <c r="D165" s="537">
        <f>100*1%+400*0.7%+500*0.55%+4000*0.35%+5000*0.2%+90000*0.05%</f>
        <v>75.55</v>
      </c>
      <c r="E165" s="550">
        <f t="shared" si="13"/>
        <v>5.44</v>
      </c>
      <c r="F165" s="579">
        <f t="shared" si="15"/>
        <v>0.0775923548709171</v>
      </c>
      <c r="G165" s="527"/>
      <c r="H165" s="527"/>
      <c r="I165" s="527"/>
      <c r="J165" s="537" t="s">
        <v>120</v>
      </c>
      <c r="K165" s="590" t="e">
        <f>+#REF!</f>
        <v>#REF!</v>
      </c>
    </row>
    <row r="166" customHeight="true" spans="1:11">
      <c r="A166" s="568">
        <v>-5</v>
      </c>
      <c r="B166" s="527" t="s">
        <v>124</v>
      </c>
      <c r="C166" s="547">
        <v>24.9</v>
      </c>
      <c r="D166" s="569" t="s">
        <v>45</v>
      </c>
      <c r="E166" s="550">
        <f t="shared" si="13"/>
        <v>-24.9</v>
      </c>
      <c r="F166" s="579">
        <f t="shared" si="15"/>
        <v>-1</v>
      </c>
      <c r="G166" s="527"/>
      <c r="H166" s="527"/>
      <c r="I166" s="527"/>
      <c r="J166" s="537" t="s">
        <v>120</v>
      </c>
      <c r="K166" s="590"/>
    </row>
    <row r="167" s="518" customFormat="true" customHeight="true" spans="1:11">
      <c r="A167" s="570">
        <v>-6</v>
      </c>
      <c r="B167" s="571" t="s">
        <v>125</v>
      </c>
      <c r="C167" s="553">
        <v>3.6312</v>
      </c>
      <c r="D167" s="572">
        <f>100*1.5%+(D186-100)*0.8%</f>
        <v>3.6312</v>
      </c>
      <c r="E167" s="569" t="s">
        <v>45</v>
      </c>
      <c r="F167" s="569" t="s">
        <v>102</v>
      </c>
      <c r="G167" s="527"/>
      <c r="H167" s="527"/>
      <c r="I167" s="527"/>
      <c r="J167" s="572" t="s">
        <v>120</v>
      </c>
      <c r="K167" s="590"/>
    </row>
    <row r="168" s="518" customFormat="true" customHeight="true" spans="1:11">
      <c r="A168" s="570">
        <v>-7</v>
      </c>
      <c r="B168" s="571" t="s">
        <v>126</v>
      </c>
      <c r="C168" s="553">
        <v>2.10018426688</v>
      </c>
      <c r="D168" s="569" t="s">
        <v>45</v>
      </c>
      <c r="E168" s="550">
        <f t="shared" si="13"/>
        <v>-2.10018426688</v>
      </c>
      <c r="F168" s="579">
        <f t="shared" si="15"/>
        <v>-1</v>
      </c>
      <c r="G168" s="527"/>
      <c r="H168" s="527"/>
      <c r="I168" s="527"/>
      <c r="J168" s="572" t="s">
        <v>127</v>
      </c>
      <c r="K168" s="590"/>
    </row>
    <row r="169" s="518" customFormat="true" customHeight="true" spans="1:11">
      <c r="A169" s="570">
        <v>-8</v>
      </c>
      <c r="B169" s="571" t="s">
        <v>128</v>
      </c>
      <c r="C169" s="553">
        <v>1.610119773472</v>
      </c>
      <c r="D169" s="569" t="s">
        <v>45</v>
      </c>
      <c r="E169" s="550">
        <f t="shared" si="13"/>
        <v>-1.610119773472</v>
      </c>
      <c r="F169" s="579">
        <f t="shared" si="15"/>
        <v>-1</v>
      </c>
      <c r="G169" s="527"/>
      <c r="H169" s="527"/>
      <c r="I169" s="527"/>
      <c r="J169" s="572" t="s">
        <v>127</v>
      </c>
      <c r="K169" s="590"/>
    </row>
    <row r="170" s="518" customFormat="true" customHeight="true" spans="1:11">
      <c r="A170" s="570">
        <v>-9</v>
      </c>
      <c r="B170" s="571" t="s">
        <v>129</v>
      </c>
      <c r="C170" s="553">
        <v>8.0732488566</v>
      </c>
      <c r="D170" s="569" t="s">
        <v>45</v>
      </c>
      <c r="E170" s="550">
        <f t="shared" si="13"/>
        <v>-8.0732488566</v>
      </c>
      <c r="F170" s="579">
        <f t="shared" si="15"/>
        <v>-1</v>
      </c>
      <c r="G170" s="527"/>
      <c r="H170" s="527"/>
      <c r="I170" s="527"/>
      <c r="J170" s="572" t="s">
        <v>127</v>
      </c>
      <c r="K170" s="590"/>
    </row>
    <row r="171" s="518" customFormat="true" customHeight="true" spans="1:11">
      <c r="A171" s="570">
        <v>-10</v>
      </c>
      <c r="B171" s="571" t="s">
        <v>130</v>
      </c>
      <c r="C171" s="553">
        <v>2.988</v>
      </c>
      <c r="D171" s="569" t="s">
        <v>45</v>
      </c>
      <c r="E171" s="550">
        <f t="shared" si="13"/>
        <v>-2.988</v>
      </c>
      <c r="F171" s="569" t="s">
        <v>102</v>
      </c>
      <c r="G171" s="527"/>
      <c r="H171" s="527"/>
      <c r="I171" s="527"/>
      <c r="J171" s="572" t="s">
        <v>127</v>
      </c>
      <c r="K171" s="590"/>
    </row>
    <row r="172" s="518" customFormat="true" customHeight="true" spans="1:11">
      <c r="A172" s="570">
        <v>-11</v>
      </c>
      <c r="B172" s="571" t="s">
        <v>131</v>
      </c>
      <c r="C172" s="553">
        <v>5.280562046</v>
      </c>
      <c r="D172" s="569" t="s">
        <v>45</v>
      </c>
      <c r="E172" s="550">
        <f t="shared" si="13"/>
        <v>-5.280562046</v>
      </c>
      <c r="F172" s="569" t="s">
        <v>102</v>
      </c>
      <c r="G172" s="527"/>
      <c r="H172" s="527"/>
      <c r="I172" s="527"/>
      <c r="J172" s="572" t="s">
        <v>127</v>
      </c>
      <c r="K172" s="590"/>
    </row>
    <row r="173" s="518" customFormat="true" customHeight="true" spans="1:11">
      <c r="A173" s="570">
        <v>-12</v>
      </c>
      <c r="B173" s="571" t="s">
        <v>132</v>
      </c>
      <c r="C173" s="553">
        <v>6.672668</v>
      </c>
      <c r="D173" s="569" t="s">
        <v>45</v>
      </c>
      <c r="E173" s="550">
        <f t="shared" si="13"/>
        <v>-6.672668</v>
      </c>
      <c r="F173" s="569" t="s">
        <v>102</v>
      </c>
      <c r="G173" s="527"/>
      <c r="H173" s="527"/>
      <c r="I173" s="527"/>
      <c r="J173" s="572" t="s">
        <v>127</v>
      </c>
      <c r="K173" s="590"/>
    </row>
    <row r="174" s="518" customFormat="true" customHeight="true" spans="1:11">
      <c r="A174" s="570">
        <v>-13</v>
      </c>
      <c r="B174" s="571" t="s">
        <v>133</v>
      </c>
      <c r="C174" s="553">
        <v>1.7812386064</v>
      </c>
      <c r="D174" s="569" t="s">
        <v>45</v>
      </c>
      <c r="E174" s="550">
        <f t="shared" si="13"/>
        <v>-1.7812386064</v>
      </c>
      <c r="F174" s="579">
        <f t="shared" si="15"/>
        <v>-1</v>
      </c>
      <c r="G174" s="527"/>
      <c r="H174" s="527"/>
      <c r="I174" s="527"/>
      <c r="J174" s="572" t="s">
        <v>127</v>
      </c>
      <c r="K174" s="590"/>
    </row>
    <row r="175" s="518" customFormat="true" customHeight="true" spans="1:11">
      <c r="A175" s="570">
        <v>-14</v>
      </c>
      <c r="B175" s="571" t="s">
        <v>134</v>
      </c>
      <c r="C175" s="553">
        <v>3.8567030838</v>
      </c>
      <c r="D175" s="569" t="s">
        <v>45</v>
      </c>
      <c r="E175" s="550">
        <f t="shared" si="13"/>
        <v>-3.8567030838</v>
      </c>
      <c r="F175" s="579">
        <f t="shared" si="15"/>
        <v>-1</v>
      </c>
      <c r="G175" s="527"/>
      <c r="H175" s="527"/>
      <c r="I175" s="527"/>
      <c r="J175" s="572" t="s">
        <v>127</v>
      </c>
      <c r="K175" s="590"/>
    </row>
    <row r="176" s="518" customFormat="true" ht="29.25" customHeight="true" spans="1:11">
      <c r="A176" s="570">
        <v>-15</v>
      </c>
      <c r="B176" s="573" t="s">
        <v>135</v>
      </c>
      <c r="C176" s="553">
        <v>1.06524772128</v>
      </c>
      <c r="D176" s="569" t="s">
        <v>45</v>
      </c>
      <c r="E176" s="550">
        <f t="shared" si="13"/>
        <v>-1.06524772128</v>
      </c>
      <c r="F176" s="579">
        <f t="shared" si="15"/>
        <v>-1</v>
      </c>
      <c r="G176" s="527"/>
      <c r="H176" s="527"/>
      <c r="I176" s="527"/>
      <c r="J176" s="572" t="s">
        <v>127</v>
      </c>
      <c r="K176" s="590"/>
    </row>
    <row r="177" s="518" customFormat="true" customHeight="true" spans="1:11">
      <c r="A177" s="570">
        <v>-16</v>
      </c>
      <c r="B177" s="571" t="s">
        <v>136</v>
      </c>
      <c r="C177" s="553">
        <v>1.9</v>
      </c>
      <c r="D177" s="569" t="s">
        <v>45</v>
      </c>
      <c r="E177" s="550">
        <f t="shared" si="13"/>
        <v>-1.9</v>
      </c>
      <c r="F177" s="569" t="s">
        <v>102</v>
      </c>
      <c r="G177" s="527"/>
      <c r="H177" s="527"/>
      <c r="I177" s="527"/>
      <c r="J177" s="572" t="s">
        <v>127</v>
      </c>
      <c r="K177" s="590"/>
    </row>
    <row r="178" customHeight="true" spans="1:11">
      <c r="A178" s="526">
        <v>5</v>
      </c>
      <c r="B178" s="527" t="s">
        <v>137</v>
      </c>
      <c r="C178" s="547">
        <v>377.41</v>
      </c>
      <c r="D178" s="537">
        <f>D5*0.003</f>
        <v>370.72779</v>
      </c>
      <c r="E178" s="550">
        <f t="shared" si="13"/>
        <v>-6.68221000000005</v>
      </c>
      <c r="F178" s="579">
        <f t="shared" si="15"/>
        <v>-0.0177054397074801</v>
      </c>
      <c r="G178" s="527"/>
      <c r="H178" s="527"/>
      <c r="I178" s="527"/>
      <c r="J178" s="537" t="s">
        <v>138</v>
      </c>
      <c r="K178" s="591" t="s">
        <v>139</v>
      </c>
    </row>
    <row r="179" ht="17.25" customHeight="true" spans="1:11">
      <c r="A179" s="526">
        <v>6</v>
      </c>
      <c r="B179" s="677" t="s">
        <v>140</v>
      </c>
      <c r="C179" s="547">
        <v>1819.05</v>
      </c>
      <c r="D179" s="537">
        <f>(1507+(2712.5-1507)/(200000-100000)*(D146-100000))*0.7</f>
        <v>1253.845485305</v>
      </c>
      <c r="E179" s="550">
        <f t="shared" si="13"/>
        <v>-565.204514695</v>
      </c>
      <c r="F179" s="579">
        <f t="shared" si="15"/>
        <v>-0.310714117091339</v>
      </c>
      <c r="G179" s="527"/>
      <c r="H179" s="527"/>
      <c r="I179" s="527"/>
      <c r="J179" s="537" t="s">
        <v>141</v>
      </c>
      <c r="K179" s="522">
        <f>1507+(2712.5-1507)/(200000-100000)*(D146-100000)</f>
        <v>1791.20783615</v>
      </c>
    </row>
    <row r="180" customHeight="true" spans="1:11">
      <c r="A180" s="526">
        <v>7</v>
      </c>
      <c r="B180" s="527" t="s">
        <v>142</v>
      </c>
      <c r="C180" s="547">
        <v>130.35</v>
      </c>
      <c r="D180" s="537">
        <f>SUM(D181:D182)</f>
        <v>130.35</v>
      </c>
      <c r="E180" s="569" t="s">
        <v>45</v>
      </c>
      <c r="F180" s="569" t="s">
        <v>102</v>
      </c>
      <c r="G180" s="527"/>
      <c r="H180" s="527"/>
      <c r="I180" s="527"/>
      <c r="J180" s="537"/>
      <c r="K180" s="590" t="e">
        <f>+#REF!</f>
        <v>#REF!</v>
      </c>
    </row>
    <row r="181" customHeight="true" spans="1:11">
      <c r="A181" s="568">
        <v>-1</v>
      </c>
      <c r="B181" s="527" t="s">
        <v>143</v>
      </c>
      <c r="C181" s="547">
        <v>43.45</v>
      </c>
      <c r="D181" s="537">
        <f>C181</f>
        <v>43.45</v>
      </c>
      <c r="E181" s="569" t="s">
        <v>45</v>
      </c>
      <c r="F181" s="569" t="s">
        <v>102</v>
      </c>
      <c r="G181" s="527"/>
      <c r="H181" s="527"/>
      <c r="I181" s="527"/>
      <c r="J181" s="537" t="s">
        <v>144</v>
      </c>
      <c r="K181" s="590"/>
    </row>
    <row r="182" customHeight="true" spans="1:11">
      <c r="A182" s="568">
        <v>-2</v>
      </c>
      <c r="B182" s="527" t="s">
        <v>145</v>
      </c>
      <c r="C182" s="547">
        <v>86.9</v>
      </c>
      <c r="D182" s="537">
        <f>C182</f>
        <v>86.9</v>
      </c>
      <c r="E182" s="569" t="s">
        <v>45</v>
      </c>
      <c r="F182" s="569" t="s">
        <v>102</v>
      </c>
      <c r="G182" s="527"/>
      <c r="H182" s="527"/>
      <c r="I182" s="527"/>
      <c r="J182" s="537" t="s">
        <v>144</v>
      </c>
      <c r="K182" s="590"/>
    </row>
    <row r="183" customHeight="true" spans="1:11">
      <c r="A183" s="526">
        <v>8</v>
      </c>
      <c r="B183" s="527" t="s">
        <v>146</v>
      </c>
      <c r="C183" s="547">
        <v>60</v>
      </c>
      <c r="D183" s="537">
        <v>56</v>
      </c>
      <c r="E183" s="550">
        <f t="shared" si="13"/>
        <v>-4</v>
      </c>
      <c r="F183" s="579">
        <f t="shared" si="15"/>
        <v>-0.0666666666666667</v>
      </c>
      <c r="G183" s="527"/>
      <c r="H183" s="527"/>
      <c r="I183" s="527"/>
      <c r="J183" s="537" t="s">
        <v>147</v>
      </c>
      <c r="K183" s="590" t="e">
        <f>#REF!</f>
        <v>#REF!</v>
      </c>
    </row>
    <row r="184" customHeight="true" spans="1:11">
      <c r="A184" s="526">
        <v>9</v>
      </c>
      <c r="B184" s="527" t="s">
        <v>148</v>
      </c>
      <c r="C184" s="547">
        <v>1750.23</v>
      </c>
      <c r="D184" s="537">
        <f>SUM(D185:D186)</f>
        <v>1317.934661</v>
      </c>
      <c r="E184" s="569" t="s">
        <v>45</v>
      </c>
      <c r="F184" s="569" t="s">
        <v>102</v>
      </c>
      <c r="G184" s="527"/>
      <c r="H184" s="527"/>
      <c r="I184" s="527"/>
      <c r="J184" s="537" t="s">
        <v>149</v>
      </c>
      <c r="K184" s="591" t="s">
        <v>150</v>
      </c>
    </row>
    <row r="185" customHeight="true" spans="1:11">
      <c r="A185" s="568">
        <v>-1</v>
      </c>
      <c r="B185" s="527" t="s">
        <v>151</v>
      </c>
      <c r="C185" s="547">
        <v>1383.83</v>
      </c>
      <c r="D185" s="537">
        <f>D146*0.011*0.7</f>
        <v>951.534661</v>
      </c>
      <c r="E185" s="550">
        <f t="shared" si="13"/>
        <v>-432.295339</v>
      </c>
      <c r="F185" s="579">
        <f t="shared" si="15"/>
        <v>-0.312390495219789</v>
      </c>
      <c r="G185" s="527"/>
      <c r="H185" s="527"/>
      <c r="I185" s="527"/>
      <c r="J185" s="537" t="s">
        <v>152</v>
      </c>
      <c r="K185" s="591"/>
    </row>
    <row r="186" customHeight="true" spans="1:11">
      <c r="A186" s="568">
        <v>-2</v>
      </c>
      <c r="B186" s="527" t="s">
        <v>153</v>
      </c>
      <c r="C186" s="547">
        <v>366.4</v>
      </c>
      <c r="D186" s="537">
        <f>C186</f>
        <v>366.4</v>
      </c>
      <c r="E186" s="569" t="s">
        <v>45</v>
      </c>
      <c r="F186" s="569" t="s">
        <v>102</v>
      </c>
      <c r="G186" s="527" t="s">
        <v>154</v>
      </c>
      <c r="H186" s="527">
        <v>7328</v>
      </c>
      <c r="I186" s="527">
        <v>500</v>
      </c>
      <c r="J186" s="537"/>
      <c r="K186" s="591"/>
    </row>
    <row r="187" customHeight="true" spans="1:11">
      <c r="A187" s="526">
        <v>10</v>
      </c>
      <c r="B187" s="527" t="s">
        <v>155</v>
      </c>
      <c r="C187" s="547">
        <v>4624</v>
      </c>
      <c r="D187" s="537">
        <f>(2393.4+(4450.85-2393.4)/(200000-100000)*(D146-100000))*1*1.15*0.7</f>
        <v>2317.16269228692</v>
      </c>
      <c r="E187" s="550">
        <f t="shared" si="13"/>
        <v>-2306.83730771308</v>
      </c>
      <c r="F187" s="579">
        <f t="shared" si="15"/>
        <v>-0.498883500803001</v>
      </c>
      <c r="G187" s="527"/>
      <c r="H187" s="527"/>
      <c r="I187" s="527"/>
      <c r="J187" s="537" t="s">
        <v>149</v>
      </c>
      <c r="K187" s="592"/>
    </row>
    <row r="188" customHeight="true" spans="1:11">
      <c r="A188" s="526">
        <v>11</v>
      </c>
      <c r="B188" s="677" t="s">
        <v>156</v>
      </c>
      <c r="C188" s="547">
        <v>175.02</v>
      </c>
      <c r="D188" s="537">
        <v>165</v>
      </c>
      <c r="E188" s="550">
        <f t="shared" si="13"/>
        <v>-10.02</v>
      </c>
      <c r="F188" s="579">
        <f t="shared" si="15"/>
        <v>-0.0572505999314365</v>
      </c>
      <c r="G188" s="527"/>
      <c r="H188" s="527"/>
      <c r="I188" s="527"/>
      <c r="J188" s="537" t="s">
        <v>149</v>
      </c>
      <c r="K188" s="522"/>
    </row>
    <row r="189" customHeight="true" spans="1:11">
      <c r="A189" s="526">
        <v>12</v>
      </c>
      <c r="B189" s="527" t="s">
        <v>157</v>
      </c>
      <c r="C189" s="547">
        <v>113.76</v>
      </c>
      <c r="D189" s="537">
        <f>D187*4%*0.7</f>
        <v>64.8805553840339</v>
      </c>
      <c r="E189" s="550">
        <f t="shared" si="13"/>
        <v>-48.8794446159661</v>
      </c>
      <c r="F189" s="569" t="s">
        <v>102</v>
      </c>
      <c r="G189" s="527"/>
      <c r="H189" s="527"/>
      <c r="I189" s="527"/>
      <c r="J189" s="537" t="s">
        <v>158</v>
      </c>
      <c r="K189" s="590"/>
    </row>
    <row r="190" customHeight="true" spans="1:11">
      <c r="A190" s="526">
        <v>13</v>
      </c>
      <c r="B190" s="527" t="s">
        <v>159</v>
      </c>
      <c r="C190" s="574">
        <v>842.3</v>
      </c>
      <c r="D190" s="537">
        <f>SUM(D191:D195)</f>
        <v>589.61</v>
      </c>
      <c r="E190" s="550">
        <f t="shared" si="13"/>
        <v>-252.69</v>
      </c>
      <c r="F190" s="579">
        <f t="shared" si="15"/>
        <v>-0.3</v>
      </c>
      <c r="G190" s="527"/>
      <c r="H190" s="527"/>
      <c r="I190" s="527"/>
      <c r="J190" s="537"/>
      <c r="K190" s="590"/>
    </row>
    <row r="191" customHeight="true" spans="1:11">
      <c r="A191" s="568">
        <v>-1</v>
      </c>
      <c r="B191" s="527" t="s">
        <v>160</v>
      </c>
      <c r="C191" s="547">
        <v>211.61</v>
      </c>
      <c r="D191" s="537">
        <f>C191*0.7</f>
        <v>148.127</v>
      </c>
      <c r="E191" s="550">
        <f t="shared" si="13"/>
        <v>-63.483</v>
      </c>
      <c r="F191" s="579">
        <f t="shared" si="15"/>
        <v>-0.3</v>
      </c>
      <c r="G191" s="527"/>
      <c r="H191" s="527"/>
      <c r="I191" s="527"/>
      <c r="J191" s="537" t="s">
        <v>161</v>
      </c>
      <c r="K191" s="590"/>
    </row>
    <row r="192" customHeight="true" spans="1:11">
      <c r="A192" s="568">
        <v>-2</v>
      </c>
      <c r="B192" s="527" t="s">
        <v>162</v>
      </c>
      <c r="C192" s="547">
        <v>510.31</v>
      </c>
      <c r="D192" s="537">
        <f t="shared" ref="D192:D195" si="17">C192*0.7</f>
        <v>357.217</v>
      </c>
      <c r="E192" s="550">
        <f t="shared" si="13"/>
        <v>-153.093</v>
      </c>
      <c r="F192" s="579">
        <f t="shared" si="15"/>
        <v>-0.3</v>
      </c>
      <c r="G192" s="527"/>
      <c r="H192" s="527"/>
      <c r="I192" s="527"/>
      <c r="J192" s="537" t="s">
        <v>161</v>
      </c>
      <c r="K192" s="590"/>
    </row>
    <row r="193" ht="27.75" customHeight="true" spans="1:11">
      <c r="A193" s="568">
        <v>-3</v>
      </c>
      <c r="B193" s="528" t="s">
        <v>163</v>
      </c>
      <c r="C193" s="547">
        <v>109.32</v>
      </c>
      <c r="D193" s="537">
        <f t="shared" si="17"/>
        <v>76.524</v>
      </c>
      <c r="E193" s="550">
        <f t="shared" si="13"/>
        <v>-32.796</v>
      </c>
      <c r="F193" s="579">
        <f t="shared" si="15"/>
        <v>-0.3</v>
      </c>
      <c r="G193" s="527"/>
      <c r="H193" s="527"/>
      <c r="I193" s="527"/>
      <c r="J193" s="537" t="s">
        <v>161</v>
      </c>
      <c r="K193" s="590"/>
    </row>
    <row r="194" customHeight="true" spans="1:11">
      <c r="A194" s="568">
        <v>-4</v>
      </c>
      <c r="B194" s="527" t="s">
        <v>164</v>
      </c>
      <c r="C194" s="547">
        <v>6.29</v>
      </c>
      <c r="D194" s="537">
        <f t="shared" si="17"/>
        <v>4.403</v>
      </c>
      <c r="E194" s="550">
        <f t="shared" si="13"/>
        <v>-1.887</v>
      </c>
      <c r="F194" s="579">
        <f t="shared" si="15"/>
        <v>-0.3</v>
      </c>
      <c r="G194" s="527"/>
      <c r="H194" s="527"/>
      <c r="I194" s="527"/>
      <c r="J194" s="537" t="s">
        <v>161</v>
      </c>
      <c r="K194" s="590"/>
    </row>
    <row r="195" customHeight="true" spans="1:11">
      <c r="A195" s="568">
        <v>-5</v>
      </c>
      <c r="B195" s="527" t="s">
        <v>165</v>
      </c>
      <c r="C195" s="547">
        <v>4.77</v>
      </c>
      <c r="D195" s="537">
        <f t="shared" si="17"/>
        <v>3.339</v>
      </c>
      <c r="E195" s="550">
        <f t="shared" si="13"/>
        <v>-1.431</v>
      </c>
      <c r="F195" s="579">
        <f t="shared" si="15"/>
        <v>-0.3</v>
      </c>
      <c r="G195" s="527"/>
      <c r="H195" s="527"/>
      <c r="I195" s="527"/>
      <c r="J195" s="581" t="s">
        <v>166</v>
      </c>
      <c r="K195" s="590"/>
    </row>
    <row r="196" customHeight="true" spans="1:11">
      <c r="A196" s="526">
        <v>14</v>
      </c>
      <c r="B196" s="527" t="s">
        <v>167</v>
      </c>
      <c r="C196" s="574">
        <v>1449.3</v>
      </c>
      <c r="D196" s="537">
        <f>SUM(D197:D199)</f>
        <v>867.45</v>
      </c>
      <c r="E196" s="550">
        <f t="shared" si="13"/>
        <v>-581.85</v>
      </c>
      <c r="F196" s="579">
        <f t="shared" si="15"/>
        <v>-0.401469675015525</v>
      </c>
      <c r="G196" s="527"/>
      <c r="H196" s="527"/>
      <c r="I196" s="527"/>
      <c r="J196" s="537"/>
      <c r="K196" s="590"/>
    </row>
    <row r="197" customHeight="true" spans="1:11">
      <c r="A197" s="568">
        <v>-1</v>
      </c>
      <c r="B197" s="527" t="s">
        <v>168</v>
      </c>
      <c r="C197" s="547">
        <v>329.91</v>
      </c>
      <c r="D197" s="569" t="s">
        <v>45</v>
      </c>
      <c r="E197" s="550">
        <f t="shared" si="13"/>
        <v>-329.91</v>
      </c>
      <c r="F197" s="579">
        <f t="shared" si="15"/>
        <v>-1</v>
      </c>
      <c r="G197" s="527"/>
      <c r="H197" s="527"/>
      <c r="I197" s="527"/>
      <c r="J197" s="537" t="s">
        <v>169</v>
      </c>
      <c r="K197" s="590"/>
    </row>
    <row r="198" customHeight="true" spans="1:11">
      <c r="A198" s="568">
        <v>-2</v>
      </c>
      <c r="B198" s="527" t="s">
        <v>170</v>
      </c>
      <c r="C198" s="547">
        <v>812.01</v>
      </c>
      <c r="D198" s="537">
        <f>804.3*0.7</f>
        <v>563.01</v>
      </c>
      <c r="E198" s="550">
        <f t="shared" si="13"/>
        <v>-249</v>
      </c>
      <c r="F198" s="579">
        <f t="shared" si="15"/>
        <v>-0.306646469871061</v>
      </c>
      <c r="G198" s="527"/>
      <c r="H198" s="527"/>
      <c r="I198" s="527"/>
      <c r="J198" s="537" t="s">
        <v>169</v>
      </c>
      <c r="K198" s="590"/>
    </row>
    <row r="199" customHeight="true" spans="1:11">
      <c r="A199" s="568">
        <v>-3</v>
      </c>
      <c r="B199" s="527" t="s">
        <v>171</v>
      </c>
      <c r="C199" s="547">
        <v>307.38</v>
      </c>
      <c r="D199" s="537">
        <v>304.44</v>
      </c>
      <c r="E199" s="550">
        <f t="shared" si="13"/>
        <v>-2.94</v>
      </c>
      <c r="F199" s="579">
        <f t="shared" si="15"/>
        <v>-0.00956470817880148</v>
      </c>
      <c r="G199" s="527"/>
      <c r="H199" s="527"/>
      <c r="I199" s="527"/>
      <c r="J199" s="537" t="s">
        <v>169</v>
      </c>
      <c r="K199" s="590"/>
    </row>
    <row r="200" customHeight="true" spans="1:11">
      <c r="A200" s="526">
        <v>15</v>
      </c>
      <c r="B200" s="527" t="s">
        <v>172</v>
      </c>
      <c r="C200" s="547">
        <v>17.28</v>
      </c>
      <c r="D200" s="537">
        <f>24*0.6*6*2000/10000</f>
        <v>17.28</v>
      </c>
      <c r="E200" s="569" t="s">
        <v>45</v>
      </c>
      <c r="F200" s="569" t="s">
        <v>102</v>
      </c>
      <c r="G200" s="527"/>
      <c r="H200" s="527"/>
      <c r="I200" s="527"/>
      <c r="J200" s="537"/>
      <c r="K200" s="590"/>
    </row>
    <row r="201" customHeight="true" spans="1:11">
      <c r="A201" s="526">
        <v>16</v>
      </c>
      <c r="B201" s="527" t="s">
        <v>173</v>
      </c>
      <c r="C201" s="547">
        <v>0.6</v>
      </c>
      <c r="D201" s="537">
        <f>3*2000/10000</f>
        <v>0.6</v>
      </c>
      <c r="E201" s="569" t="s">
        <v>45</v>
      </c>
      <c r="F201" s="569" t="s">
        <v>102</v>
      </c>
      <c r="G201" s="527"/>
      <c r="H201" s="527"/>
      <c r="I201" s="527"/>
      <c r="J201" s="537" t="s">
        <v>174</v>
      </c>
      <c r="K201" s="590"/>
    </row>
    <row r="202" customHeight="true" spans="1:11">
      <c r="A202" s="526">
        <v>17</v>
      </c>
      <c r="B202" s="527" t="s">
        <v>175</v>
      </c>
      <c r="C202" s="547">
        <v>71.14</v>
      </c>
      <c r="D202" s="537">
        <f t="shared" ref="D201:D205" si="18">C202</f>
        <v>71.14</v>
      </c>
      <c r="E202" s="569" t="s">
        <v>45</v>
      </c>
      <c r="F202" s="569" t="s">
        <v>102</v>
      </c>
      <c r="G202" s="527"/>
      <c r="H202" s="527"/>
      <c r="I202" s="527"/>
      <c r="J202" s="537" t="s">
        <v>176</v>
      </c>
      <c r="K202" s="590"/>
    </row>
    <row r="203" customHeight="true" spans="1:11">
      <c r="A203" s="526">
        <v>18</v>
      </c>
      <c r="B203" s="527" t="s">
        <v>177</v>
      </c>
      <c r="C203" s="547">
        <v>384</v>
      </c>
      <c r="D203" s="537">
        <f t="shared" si="18"/>
        <v>384</v>
      </c>
      <c r="E203" s="569" t="s">
        <v>45</v>
      </c>
      <c r="F203" s="569" t="s">
        <v>102</v>
      </c>
      <c r="G203" s="527" t="s">
        <v>178</v>
      </c>
      <c r="H203" s="527">
        <v>4.8</v>
      </c>
      <c r="I203" s="527">
        <v>800000</v>
      </c>
      <c r="J203" s="537" t="s">
        <v>106</v>
      </c>
      <c r="K203" s="590"/>
    </row>
    <row r="204" customHeight="true" spans="1:11">
      <c r="A204" s="526">
        <v>19</v>
      </c>
      <c r="B204" s="527" t="s">
        <v>179</v>
      </c>
      <c r="C204" s="547">
        <v>629.01</v>
      </c>
      <c r="D204" s="537">
        <f t="shared" si="18"/>
        <v>629.01</v>
      </c>
      <c r="E204" s="569" t="s">
        <v>45</v>
      </c>
      <c r="F204" s="569" t="s">
        <v>102</v>
      </c>
      <c r="G204" s="527"/>
      <c r="H204" s="527"/>
      <c r="I204" s="527"/>
      <c r="J204" s="537" t="s">
        <v>180</v>
      </c>
      <c r="K204" s="590"/>
    </row>
    <row r="205" s="519" customFormat="true" ht="27" customHeight="true" spans="1:11">
      <c r="A205" s="596">
        <v>20</v>
      </c>
      <c r="B205" s="597" t="s">
        <v>181</v>
      </c>
      <c r="C205" s="598">
        <v>1035</v>
      </c>
      <c r="D205" s="599">
        <f t="shared" si="18"/>
        <v>1035</v>
      </c>
      <c r="E205" s="569" t="s">
        <v>45</v>
      </c>
      <c r="F205" s="569" t="s">
        <v>102</v>
      </c>
      <c r="G205" s="597"/>
      <c r="H205" s="597"/>
      <c r="I205" s="597"/>
      <c r="J205" s="617" t="s">
        <v>182</v>
      </c>
      <c r="K205" s="618"/>
    </row>
    <row r="206" s="519" customFormat="true" customHeight="true" spans="1:11">
      <c r="A206" s="596">
        <v>21</v>
      </c>
      <c r="B206" s="597" t="s">
        <v>183</v>
      </c>
      <c r="C206" s="598">
        <v>50.15</v>
      </c>
      <c r="D206" s="599">
        <v>50.15</v>
      </c>
      <c r="E206" s="569" t="s">
        <v>45</v>
      </c>
      <c r="F206" s="569" t="s">
        <v>102</v>
      </c>
      <c r="G206" s="597"/>
      <c r="H206" s="597"/>
      <c r="I206" s="597"/>
      <c r="J206" s="599" t="s">
        <v>184</v>
      </c>
      <c r="K206" s="618"/>
    </row>
    <row r="207" customHeight="true" spans="1:11">
      <c r="A207" s="526">
        <v>22</v>
      </c>
      <c r="B207" s="527" t="s">
        <v>185</v>
      </c>
      <c r="C207" s="547">
        <v>120</v>
      </c>
      <c r="D207" s="537">
        <f>C207</f>
        <v>120</v>
      </c>
      <c r="E207" s="569" t="s">
        <v>45</v>
      </c>
      <c r="F207" s="569" t="s">
        <v>102</v>
      </c>
      <c r="G207" s="527"/>
      <c r="H207" s="527"/>
      <c r="I207" s="527"/>
      <c r="J207" s="537" t="s">
        <v>149</v>
      </c>
      <c r="K207" s="590"/>
    </row>
    <row r="208" customHeight="true" spans="1:11">
      <c r="A208" s="526">
        <v>23</v>
      </c>
      <c r="B208" s="527" t="s">
        <v>186</v>
      </c>
      <c r="C208" s="547">
        <v>25</v>
      </c>
      <c r="D208" s="537">
        <f>C208</f>
        <v>25</v>
      </c>
      <c r="E208" s="569" t="s">
        <v>45</v>
      </c>
      <c r="F208" s="569" t="s">
        <v>102</v>
      </c>
      <c r="G208" s="527"/>
      <c r="H208" s="527"/>
      <c r="I208" s="527"/>
      <c r="J208" s="537" t="s">
        <v>187</v>
      </c>
      <c r="K208" s="590"/>
    </row>
    <row r="209" customHeight="true" spans="1:11">
      <c r="A209" s="526">
        <v>24</v>
      </c>
      <c r="B209" s="527" t="s">
        <v>188</v>
      </c>
      <c r="C209" s="547">
        <v>35</v>
      </c>
      <c r="D209" s="537">
        <f>C209</f>
        <v>35</v>
      </c>
      <c r="E209" s="569" t="s">
        <v>45</v>
      </c>
      <c r="F209" s="569" t="s">
        <v>102</v>
      </c>
      <c r="G209" s="527"/>
      <c r="H209" s="527"/>
      <c r="I209" s="527"/>
      <c r="J209" s="537" t="s">
        <v>189</v>
      </c>
      <c r="K209" s="590"/>
    </row>
    <row r="210" customHeight="true" spans="1:11">
      <c r="A210" s="526">
        <v>25</v>
      </c>
      <c r="B210" s="527" t="s">
        <v>190</v>
      </c>
      <c r="C210" s="547">
        <v>100</v>
      </c>
      <c r="D210" s="537">
        <v>20</v>
      </c>
      <c r="E210" s="550">
        <f t="shared" ref="E210:E212" si="19">D210-C210</f>
        <v>-80</v>
      </c>
      <c r="F210" s="579">
        <f t="shared" ref="F210:F212" si="20">E210/C210</f>
        <v>-0.8</v>
      </c>
      <c r="G210" s="527"/>
      <c r="H210" s="527"/>
      <c r="I210" s="527"/>
      <c r="J210" s="537" t="s">
        <v>147</v>
      </c>
      <c r="K210" s="590"/>
    </row>
    <row r="211" customHeight="true" spans="1:11">
      <c r="A211" s="526">
        <v>26</v>
      </c>
      <c r="B211" s="527" t="s">
        <v>191</v>
      </c>
      <c r="C211" s="547">
        <v>10</v>
      </c>
      <c r="D211" s="537">
        <v>10</v>
      </c>
      <c r="E211" s="569" t="s">
        <v>45</v>
      </c>
      <c r="F211" s="569" t="s">
        <v>102</v>
      </c>
      <c r="G211" s="527"/>
      <c r="H211" s="527"/>
      <c r="I211" s="527"/>
      <c r="J211" s="537" t="s">
        <v>106</v>
      </c>
      <c r="K211" s="590"/>
    </row>
    <row r="212" customHeight="true" spans="1:11">
      <c r="A212" s="526">
        <v>27</v>
      </c>
      <c r="B212" s="527" t="s">
        <v>192</v>
      </c>
      <c r="C212" s="547">
        <v>150</v>
      </c>
      <c r="D212" s="569" t="s">
        <v>45</v>
      </c>
      <c r="E212" s="550">
        <f t="shared" si="19"/>
        <v>-150</v>
      </c>
      <c r="F212" s="579">
        <f t="shared" si="20"/>
        <v>-1</v>
      </c>
      <c r="G212" s="527"/>
      <c r="H212" s="527"/>
      <c r="I212" s="527"/>
      <c r="J212" s="537" t="s">
        <v>106</v>
      </c>
      <c r="K212" s="590"/>
    </row>
    <row r="213" ht="27.75" customHeight="true" spans="1:11">
      <c r="A213" s="526">
        <v>28</v>
      </c>
      <c r="B213" s="527" t="s">
        <v>193</v>
      </c>
      <c r="C213" s="547">
        <v>50</v>
      </c>
      <c r="D213" s="537">
        <f t="shared" ref="D213:D221" si="21">C213</f>
        <v>50</v>
      </c>
      <c r="E213" s="569" t="s">
        <v>45</v>
      </c>
      <c r="F213" s="569" t="s">
        <v>102</v>
      </c>
      <c r="G213" s="527"/>
      <c r="H213" s="527"/>
      <c r="I213" s="527"/>
      <c r="J213" s="619" t="s">
        <v>194</v>
      </c>
      <c r="K213" s="590"/>
    </row>
    <row r="214" ht="25.5" customHeight="true" spans="1:11">
      <c r="A214" s="526">
        <v>29</v>
      </c>
      <c r="B214" s="527" t="s">
        <v>195</v>
      </c>
      <c r="C214" s="547">
        <v>80</v>
      </c>
      <c r="D214" s="537">
        <f t="shared" si="21"/>
        <v>80</v>
      </c>
      <c r="E214" s="569" t="s">
        <v>45</v>
      </c>
      <c r="F214" s="569" t="s">
        <v>102</v>
      </c>
      <c r="G214" s="527"/>
      <c r="H214" s="527"/>
      <c r="I214" s="527"/>
      <c r="J214" s="619" t="s">
        <v>196</v>
      </c>
      <c r="K214" s="590"/>
    </row>
    <row r="215" customHeight="true" spans="1:11">
      <c r="A215" s="526">
        <v>30</v>
      </c>
      <c r="B215" s="527" t="s">
        <v>197</v>
      </c>
      <c r="C215" s="547">
        <v>50</v>
      </c>
      <c r="D215" s="537">
        <v>30</v>
      </c>
      <c r="E215" s="550">
        <f t="shared" ref="E215" si="22">D215-C215</f>
        <v>-20</v>
      </c>
      <c r="F215" s="579">
        <f t="shared" ref="F215" si="23">E215/C215</f>
        <v>-0.4</v>
      </c>
      <c r="G215" s="527"/>
      <c r="H215" s="527"/>
      <c r="I215" s="527"/>
      <c r="J215" s="537" t="s">
        <v>106</v>
      </c>
      <c r="K215" s="590"/>
    </row>
    <row r="216" customHeight="true" spans="1:11">
      <c r="A216" s="526">
        <v>31</v>
      </c>
      <c r="B216" s="527" t="s">
        <v>198</v>
      </c>
      <c r="C216" s="547">
        <v>90</v>
      </c>
      <c r="D216" s="537">
        <f t="shared" si="21"/>
        <v>90</v>
      </c>
      <c r="E216" s="569" t="s">
        <v>45</v>
      </c>
      <c r="F216" s="569" t="s">
        <v>102</v>
      </c>
      <c r="G216" s="527" t="s">
        <v>93</v>
      </c>
      <c r="H216" s="527">
        <v>3</v>
      </c>
      <c r="I216" s="527">
        <v>300000</v>
      </c>
      <c r="J216" s="537" t="s">
        <v>106</v>
      </c>
      <c r="K216" s="590"/>
    </row>
    <row r="217" customHeight="true" spans="1:11">
      <c r="A217" s="526">
        <v>32</v>
      </c>
      <c r="B217" s="527" t="s">
        <v>199</v>
      </c>
      <c r="C217" s="547">
        <v>30</v>
      </c>
      <c r="D217" s="537">
        <v>30</v>
      </c>
      <c r="E217" s="569" t="s">
        <v>45</v>
      </c>
      <c r="F217" s="569" t="s">
        <v>102</v>
      </c>
      <c r="G217" s="527"/>
      <c r="H217" s="527"/>
      <c r="I217" s="527"/>
      <c r="J217" s="619" t="s">
        <v>200</v>
      </c>
      <c r="K217" s="590"/>
    </row>
    <row r="218" customHeight="true" spans="1:11">
      <c r="A218" s="526">
        <v>33</v>
      </c>
      <c r="B218" s="527" t="s">
        <v>201</v>
      </c>
      <c r="C218" s="547">
        <v>30</v>
      </c>
      <c r="D218" s="537">
        <v>30</v>
      </c>
      <c r="E218" s="569" t="s">
        <v>45</v>
      </c>
      <c r="F218" s="569" t="s">
        <v>102</v>
      </c>
      <c r="G218" s="527"/>
      <c r="H218" s="527"/>
      <c r="I218" s="527"/>
      <c r="J218" s="619" t="s">
        <v>200</v>
      </c>
      <c r="K218" s="590"/>
    </row>
    <row r="219" customHeight="true" spans="1:11">
      <c r="A219" s="526">
        <v>34</v>
      </c>
      <c r="B219" s="528" t="s">
        <v>202</v>
      </c>
      <c r="C219" s="547">
        <v>20</v>
      </c>
      <c r="D219" s="537">
        <v>20</v>
      </c>
      <c r="E219" s="569" t="s">
        <v>45</v>
      </c>
      <c r="F219" s="569" t="s">
        <v>102</v>
      </c>
      <c r="G219" s="527"/>
      <c r="H219" s="527"/>
      <c r="I219" s="527"/>
      <c r="J219" s="619" t="s">
        <v>203</v>
      </c>
      <c r="K219" s="590"/>
    </row>
    <row r="220" customHeight="true" spans="1:11">
      <c r="A220" s="526">
        <v>35</v>
      </c>
      <c r="B220" s="527" t="s">
        <v>204</v>
      </c>
      <c r="C220" s="547">
        <v>600</v>
      </c>
      <c r="D220" s="537">
        <f>H220*I220/10000</f>
        <v>600</v>
      </c>
      <c r="E220" s="569" t="s">
        <v>45</v>
      </c>
      <c r="F220" s="569" t="s">
        <v>102</v>
      </c>
      <c r="G220" s="527" t="s">
        <v>178</v>
      </c>
      <c r="H220" s="527">
        <v>300</v>
      </c>
      <c r="I220" s="527">
        <v>20000</v>
      </c>
      <c r="J220" s="619" t="s">
        <v>106</v>
      </c>
      <c r="K220" s="590"/>
    </row>
    <row r="221" customHeight="true" spans="1:11">
      <c r="A221" s="526">
        <v>36</v>
      </c>
      <c r="B221" s="527" t="s">
        <v>205</v>
      </c>
      <c r="C221" s="547">
        <v>200</v>
      </c>
      <c r="D221" s="537">
        <f t="shared" si="21"/>
        <v>200</v>
      </c>
      <c r="E221" s="569" t="s">
        <v>45</v>
      </c>
      <c r="F221" s="569" t="s">
        <v>102</v>
      </c>
      <c r="G221" s="83"/>
      <c r="H221" s="83"/>
      <c r="I221" s="83"/>
      <c r="J221" s="619" t="s">
        <v>106</v>
      </c>
      <c r="K221" s="590"/>
    </row>
    <row r="222" customHeight="true" spans="1:11">
      <c r="A222" s="526"/>
      <c r="B222" s="527"/>
      <c r="C222" s="547"/>
      <c r="D222" s="537"/>
      <c r="E222" s="569"/>
      <c r="F222" s="579"/>
      <c r="G222" s="527"/>
      <c r="H222" s="527"/>
      <c r="I222" s="527"/>
      <c r="J222" s="537"/>
      <c r="K222" s="590"/>
    </row>
    <row r="223" customHeight="true" spans="1:10">
      <c r="A223" s="565"/>
      <c r="B223" s="676" t="s">
        <v>206</v>
      </c>
      <c r="C223" s="566">
        <v>21661.5141334564</v>
      </c>
      <c r="D223" s="540">
        <f>D147</f>
        <v>16476.3989110724</v>
      </c>
      <c r="E223" s="545">
        <f t="shared" ref="E223:E234" si="24">D223-C223</f>
        <v>-5185.11522238392</v>
      </c>
      <c r="F223" s="577">
        <f t="shared" ref="F223:F234" si="25">E223/C223</f>
        <v>-0.239369934642541</v>
      </c>
      <c r="G223" s="548"/>
      <c r="H223" s="527"/>
      <c r="I223" s="578"/>
      <c r="J223" s="586"/>
    </row>
    <row r="224" customHeight="true" spans="1:10">
      <c r="A224" s="535"/>
      <c r="B224" s="678" t="s">
        <v>207</v>
      </c>
      <c r="C224" s="566">
        <v>147464.271733456</v>
      </c>
      <c r="D224" s="540">
        <f>D223+D5</f>
        <v>140052.328911072</v>
      </c>
      <c r="E224" s="545">
        <f t="shared" si="24"/>
        <v>-7411.94282238395</v>
      </c>
      <c r="F224" s="577">
        <f t="shared" si="25"/>
        <v>-0.0502626347063995</v>
      </c>
      <c r="G224" s="527"/>
      <c r="H224" s="578"/>
      <c r="I224" s="563"/>
      <c r="J224" s="588"/>
    </row>
    <row r="225" customHeight="true" spans="1:10">
      <c r="A225" s="535"/>
      <c r="B225" s="567" t="s">
        <v>208</v>
      </c>
      <c r="C225" s="566">
        <f>C226</f>
        <v>7174.89358667282</v>
      </c>
      <c r="D225" s="540">
        <f>D226</f>
        <v>6804.29644555362</v>
      </c>
      <c r="E225" s="545">
        <f t="shared" si="24"/>
        <v>-370.597141119198</v>
      </c>
      <c r="F225" s="577">
        <f t="shared" si="25"/>
        <v>-0.0516519355503157</v>
      </c>
      <c r="G225" s="527"/>
      <c r="H225" s="563"/>
      <c r="I225" s="527"/>
      <c r="J225" s="588" t="s">
        <v>209</v>
      </c>
    </row>
    <row r="226" customHeight="true" spans="1:12">
      <c r="A226" s="535"/>
      <c r="B226" s="527" t="str">
        <f>+"基本预备费    "&amp;K226*100&amp;"%"</f>
        <v>基本预备费    5%</v>
      </c>
      <c r="C226" s="600">
        <v>7174.89358667282</v>
      </c>
      <c r="D226" s="537">
        <f>(D224-D149)*0.05</f>
        <v>6804.29644555362</v>
      </c>
      <c r="E226" s="550">
        <f t="shared" si="24"/>
        <v>-370.597141119198</v>
      </c>
      <c r="F226" s="579">
        <f t="shared" si="25"/>
        <v>-0.0516519355503157</v>
      </c>
      <c r="G226" s="527"/>
      <c r="H226" s="527"/>
      <c r="I226" s="527"/>
      <c r="J226" s="588"/>
      <c r="K226" s="620">
        <v>0.05</v>
      </c>
      <c r="L226" s="518" t="s">
        <v>210</v>
      </c>
    </row>
    <row r="227" customHeight="true" spans="1:10">
      <c r="A227" s="535"/>
      <c r="B227" s="567"/>
      <c r="C227" s="601"/>
      <c r="D227" s="537"/>
      <c r="E227" s="550">
        <f t="shared" si="24"/>
        <v>0</v>
      </c>
      <c r="F227" s="579"/>
      <c r="G227" s="527"/>
      <c r="H227" s="527"/>
      <c r="I227" s="527"/>
      <c r="J227" s="588"/>
    </row>
    <row r="228" customHeight="true" spans="1:11">
      <c r="A228" s="535"/>
      <c r="B228" s="678" t="s">
        <v>211</v>
      </c>
      <c r="C228" s="566">
        <f>C224+C225</f>
        <v>154639.165320129</v>
      </c>
      <c r="D228" s="540">
        <f>D225+D224</f>
        <v>146856.625356626</v>
      </c>
      <c r="E228" s="609">
        <f t="shared" si="24"/>
        <v>-7782.53996350314</v>
      </c>
      <c r="F228" s="577">
        <f t="shared" si="25"/>
        <v>-0.0503270949981653</v>
      </c>
      <c r="G228" s="527"/>
      <c r="H228" s="527"/>
      <c r="I228" s="563"/>
      <c r="J228" s="588"/>
      <c r="K228" s="279" t="s">
        <v>212</v>
      </c>
    </row>
    <row r="229" s="519" customFormat="true" customHeight="true" spans="1:10">
      <c r="A229" s="596"/>
      <c r="B229" s="597"/>
      <c r="C229" s="602"/>
      <c r="D229" s="537"/>
      <c r="E229" s="550">
        <f t="shared" si="24"/>
        <v>0</v>
      </c>
      <c r="F229" s="577"/>
      <c r="G229" s="597"/>
      <c r="H229" s="527"/>
      <c r="I229" s="597"/>
      <c r="J229" s="599"/>
    </row>
    <row r="230" hidden="true" customHeight="true" spans="1:10">
      <c r="A230" s="535"/>
      <c r="B230" s="567" t="s">
        <v>213</v>
      </c>
      <c r="C230" s="566"/>
      <c r="D230" s="537"/>
      <c r="E230" s="550">
        <f t="shared" si="24"/>
        <v>0</v>
      </c>
      <c r="F230" s="577" t="e">
        <f t="shared" si="25"/>
        <v>#DIV/0!</v>
      </c>
      <c r="G230" s="527"/>
      <c r="H230" s="597"/>
      <c r="I230" s="527"/>
      <c r="J230" s="588"/>
    </row>
    <row r="231" hidden="true" customHeight="true" spans="1:10">
      <c r="A231" s="535"/>
      <c r="B231" s="567"/>
      <c r="C231" s="566"/>
      <c r="D231" s="537"/>
      <c r="E231" s="550">
        <f t="shared" si="24"/>
        <v>0</v>
      </c>
      <c r="F231" s="577" t="e">
        <f t="shared" si="25"/>
        <v>#DIV/0!</v>
      </c>
      <c r="G231" s="527"/>
      <c r="H231" s="527"/>
      <c r="I231" s="527"/>
      <c r="J231" s="588"/>
    </row>
    <row r="232" hidden="true" customHeight="true" spans="1:12">
      <c r="A232" s="535"/>
      <c r="B232" s="567" t="s">
        <v>214</v>
      </c>
      <c r="C232" s="566"/>
      <c r="D232" s="537"/>
      <c r="E232" s="550">
        <f t="shared" si="24"/>
        <v>0</v>
      </c>
      <c r="F232" s="577" t="e">
        <f t="shared" si="25"/>
        <v>#DIV/0!</v>
      </c>
      <c r="G232" s="527"/>
      <c r="H232" s="527"/>
      <c r="I232" s="527"/>
      <c r="J232" s="588"/>
      <c r="K232" s="621" t="e">
        <f>N146</f>
        <v>#REF!</v>
      </c>
      <c r="L232" s="622"/>
    </row>
    <row r="233" hidden="true" customHeight="true" spans="1:10">
      <c r="A233" s="535"/>
      <c r="B233" s="567"/>
      <c r="C233" s="601"/>
      <c r="D233" s="537"/>
      <c r="E233" s="550">
        <f t="shared" si="24"/>
        <v>0</v>
      </c>
      <c r="F233" s="577" t="e">
        <f t="shared" si="25"/>
        <v>#DIV/0!</v>
      </c>
      <c r="G233" s="527"/>
      <c r="H233" s="527"/>
      <c r="I233" s="527"/>
      <c r="J233" s="588"/>
    </row>
    <row r="234" customHeight="true" spans="1:12">
      <c r="A234" s="567"/>
      <c r="B234" s="567" t="s">
        <v>215</v>
      </c>
      <c r="C234" s="566">
        <f>C228</f>
        <v>154639.165320129</v>
      </c>
      <c r="D234" s="540">
        <f>D228</f>
        <v>146856.625356626</v>
      </c>
      <c r="E234" s="609">
        <f t="shared" si="24"/>
        <v>-7782.53996350314</v>
      </c>
      <c r="F234" s="577">
        <f t="shared" si="25"/>
        <v>-0.0503270949981653</v>
      </c>
      <c r="G234" s="527"/>
      <c r="H234" s="527"/>
      <c r="I234" s="563"/>
      <c r="J234" s="537"/>
      <c r="K234" s="518"/>
      <c r="L234" s="623" t="e">
        <f>+(#REF!-K234)/K234</f>
        <v>#REF!</v>
      </c>
    </row>
    <row r="235" customHeight="true" spans="1:12">
      <c r="A235" s="535"/>
      <c r="B235" s="527"/>
      <c r="C235" s="600"/>
      <c r="D235" s="600"/>
      <c r="E235" s="574"/>
      <c r="F235" s="610"/>
      <c r="G235" s="527"/>
      <c r="H235" s="563"/>
      <c r="I235" s="527"/>
      <c r="J235" s="588"/>
      <c r="K235" s="624">
        <v>162839.58</v>
      </c>
      <c r="L235" s="518" t="e">
        <f>K235-#REF!</f>
        <v>#REF!</v>
      </c>
    </row>
    <row r="236" customHeight="true" spans="1:20">
      <c r="A236" s="603"/>
      <c r="B236" s="603"/>
      <c r="C236" s="522"/>
      <c r="E236" s="541"/>
      <c r="F236" s="542"/>
      <c r="G236" s="520"/>
      <c r="H236" s="527"/>
      <c r="I236" s="520"/>
      <c r="J236" s="520"/>
      <c r="K236" s="520"/>
      <c r="L236" s="520"/>
      <c r="M236" s="520"/>
      <c r="P236" s="518" t="s">
        <v>216</v>
      </c>
      <c r="Q236" s="518" t="s">
        <v>217</v>
      </c>
      <c r="R236" s="518" t="s">
        <v>218</v>
      </c>
      <c r="T236" s="629">
        <v>0.05</v>
      </c>
    </row>
    <row r="237" customHeight="true" spans="1:18">
      <c r="A237" s="526">
        <v>27</v>
      </c>
      <c r="B237" s="527" t="s">
        <v>219</v>
      </c>
      <c r="C237" s="547"/>
      <c r="D237" s="547"/>
      <c r="E237" s="611"/>
      <c r="F237" s="576"/>
      <c r="G237" s="527"/>
      <c r="H237" s="520"/>
      <c r="I237" s="527"/>
      <c r="J237" s="537" t="s">
        <v>144</v>
      </c>
      <c r="K237" s="590"/>
      <c r="O237" s="518" t="e">
        <f>+#REF!*0.8</f>
        <v>#REF!</v>
      </c>
      <c r="P237" s="629">
        <v>0.3</v>
      </c>
      <c r="Q237" s="629">
        <v>0.4</v>
      </c>
      <c r="R237" s="629">
        <v>0.3</v>
      </c>
    </row>
    <row r="238" customHeight="true" spans="1:18">
      <c r="A238" s="526">
        <v>28</v>
      </c>
      <c r="B238" s="527" t="s">
        <v>179</v>
      </c>
      <c r="C238" s="547"/>
      <c r="D238" s="547"/>
      <c r="E238" s="611"/>
      <c r="F238" s="576"/>
      <c r="G238" s="527"/>
      <c r="H238" s="527"/>
      <c r="I238" s="527"/>
      <c r="J238" s="537" t="s">
        <v>144</v>
      </c>
      <c r="K238" s="590"/>
      <c r="P238" s="518" t="e">
        <f>$O$237*P237</f>
        <v>#REF!</v>
      </c>
      <c r="Q238" s="518" t="e">
        <f>$O$237*Q237</f>
        <v>#REF!</v>
      </c>
      <c r="R238" s="518" t="e">
        <f>$O$237*R237</f>
        <v>#REF!</v>
      </c>
    </row>
    <row r="239" customHeight="true" spans="1:19">
      <c r="A239" s="526">
        <v>29</v>
      </c>
      <c r="B239" s="527" t="s">
        <v>220</v>
      </c>
      <c r="C239" s="547"/>
      <c r="D239" s="547"/>
      <c r="E239" s="611"/>
      <c r="F239" s="576"/>
      <c r="G239" s="527"/>
      <c r="H239" s="527"/>
      <c r="I239" s="527"/>
      <c r="J239" s="537" t="s">
        <v>144</v>
      </c>
      <c r="K239" s="590"/>
      <c r="P239" s="518" t="e">
        <f>P238*T236</f>
        <v>#REF!</v>
      </c>
      <c r="Q239" s="518" t="e">
        <f>(P239+P238+Q238)*T236</f>
        <v>#REF!</v>
      </c>
      <c r="R239" s="518" t="e">
        <f>(Q239+Q238+R238+P238+P239)*T236</f>
        <v>#REF!</v>
      </c>
      <c r="S239" s="518" t="e">
        <f>SUM(P239:R239)</f>
        <v>#REF!</v>
      </c>
    </row>
    <row r="240" customHeight="true" spans="1:11">
      <c r="A240" s="526">
        <v>30</v>
      </c>
      <c r="B240" s="527" t="s">
        <v>221</v>
      </c>
      <c r="C240" s="547"/>
      <c r="D240" s="547"/>
      <c r="E240" s="611"/>
      <c r="F240" s="576"/>
      <c r="G240" s="527"/>
      <c r="H240" s="527"/>
      <c r="I240" s="527"/>
      <c r="J240" s="537" t="s">
        <v>144</v>
      </c>
      <c r="K240" s="590"/>
    </row>
    <row r="241" customHeight="true" spans="1:13">
      <c r="A241" s="603"/>
      <c r="B241" s="604" t="s">
        <v>222</v>
      </c>
      <c r="C241" s="605"/>
      <c r="D241" s="606">
        <v>147035.13</v>
      </c>
      <c r="E241" s="612"/>
      <c r="F241" s="613"/>
      <c r="G241" s="605" t="s">
        <v>223</v>
      </c>
      <c r="H241" s="527"/>
      <c r="I241" s="520"/>
      <c r="J241" s="520"/>
      <c r="K241" s="520"/>
      <c r="L241" s="520"/>
      <c r="M241" s="520"/>
    </row>
    <row r="242" customHeight="true" spans="2:8">
      <c r="B242" s="522" t="s">
        <v>224</v>
      </c>
      <c r="C242" s="607"/>
      <c r="D242" s="607"/>
      <c r="E242" s="614"/>
      <c r="F242" s="615"/>
      <c r="G242" s="616" t="e">
        <f>+#REF!/#REF!</f>
        <v>#REF!</v>
      </c>
      <c r="H242" s="605" t="s">
        <v>225</v>
      </c>
    </row>
    <row r="243" customHeight="true" spans="2:15">
      <c r="B243" s="522" t="s">
        <v>226</v>
      </c>
      <c r="C243" s="607"/>
      <c r="D243" s="607"/>
      <c r="E243" s="614"/>
      <c r="F243" s="615"/>
      <c r="G243" s="616" t="e">
        <f>+#REF!/#REF!</f>
        <v>#REF!</v>
      </c>
      <c r="H243" s="522" t="s">
        <v>227</v>
      </c>
      <c r="L243" s="518" t="s">
        <v>2</v>
      </c>
      <c r="M243" s="518" t="s">
        <v>228</v>
      </c>
      <c r="N243" s="518" t="s">
        <v>17</v>
      </c>
      <c r="O243" s="518" t="s">
        <v>229</v>
      </c>
    </row>
    <row r="244" customHeight="true" spans="2:12">
      <c r="B244" s="522" t="s">
        <v>230</v>
      </c>
      <c r="C244" s="607"/>
      <c r="D244" s="607"/>
      <c r="E244" s="614"/>
      <c r="F244" s="615"/>
      <c r="G244" s="616" t="e">
        <f>+#REF!/#REF!</f>
        <v>#REF!</v>
      </c>
      <c r="H244" s="522" t="s">
        <v>231</v>
      </c>
      <c r="L244" s="518" t="e">
        <f>78.5*#REF!</f>
        <v>#REF!</v>
      </c>
    </row>
    <row r="245" customHeight="true" spans="2:17">
      <c r="B245" s="522" t="s">
        <v>230</v>
      </c>
      <c r="C245" s="607"/>
      <c r="D245" s="607"/>
      <c r="E245" s="614"/>
      <c r="F245" s="615"/>
      <c r="G245" s="616" t="e">
        <f>+#REF!/#REF!</f>
        <v>#REF!</v>
      </c>
      <c r="H245" s="522" t="s">
        <v>232</v>
      </c>
      <c r="L245" s="625" t="s">
        <v>233</v>
      </c>
      <c r="M245"/>
      <c r="N245"/>
      <c r="O245"/>
      <c r="P245"/>
      <c r="Q245"/>
    </row>
    <row r="246" s="520" customFormat="true" customHeight="true" spans="1:17">
      <c r="A246" s="518"/>
      <c r="B246" s="590" t="s">
        <v>234</v>
      </c>
      <c r="C246" s="607"/>
      <c r="D246" s="607"/>
      <c r="E246" s="614"/>
      <c r="F246" s="615"/>
      <c r="G246" s="616" t="e">
        <f>+#REF!/#REF!</f>
        <v>#REF!</v>
      </c>
      <c r="H246" s="522" t="s">
        <v>235</v>
      </c>
      <c r="I246" s="518"/>
      <c r="J246" s="518"/>
      <c r="K246" s="518"/>
      <c r="L246" s="626" t="s">
        <v>2</v>
      </c>
      <c r="M246" s="626" t="s">
        <v>236</v>
      </c>
      <c r="N246" s="630" t="s">
        <v>237</v>
      </c>
      <c r="O246" s="626" t="s">
        <v>238</v>
      </c>
      <c r="P246" s="626" t="s">
        <v>239</v>
      </c>
      <c r="Q246" s="626" t="s">
        <v>240</v>
      </c>
    </row>
    <row r="247" customHeight="true" spans="2:17">
      <c r="B247" s="590" t="s">
        <v>241</v>
      </c>
      <c r="C247" s="607"/>
      <c r="D247" s="607"/>
      <c r="E247" s="614"/>
      <c r="F247" s="615"/>
      <c r="G247" s="590">
        <v>1</v>
      </c>
      <c r="L247" s="627"/>
      <c r="M247" s="627"/>
      <c r="N247" s="631" t="s">
        <v>242</v>
      </c>
      <c r="O247" s="627"/>
      <c r="P247" s="627"/>
      <c r="Q247" s="627"/>
    </row>
    <row r="248" customHeight="true" spans="2:17">
      <c r="B248" s="590" t="s">
        <v>243</v>
      </c>
      <c r="G248" s="616"/>
      <c r="L248" s="628">
        <v>1</v>
      </c>
      <c r="M248" s="632" t="s">
        <v>244</v>
      </c>
      <c r="N248" s="632">
        <v>125264.29</v>
      </c>
      <c r="O248" s="633">
        <f>D146</f>
        <v>123575.93</v>
      </c>
      <c r="P248" s="632">
        <f>O248-N248</f>
        <v>-1688.36</v>
      </c>
      <c r="Q248" s="634">
        <f>P248/N248</f>
        <v>-0.0134783823865525</v>
      </c>
    </row>
    <row r="249" customHeight="true" spans="2:17">
      <c r="B249" s="590" t="s">
        <v>245</v>
      </c>
      <c r="C249" s="608"/>
      <c r="D249" s="608"/>
      <c r="E249" s="541"/>
      <c r="F249" s="542"/>
      <c r="L249" s="628">
        <v>2</v>
      </c>
      <c r="M249" s="632" t="s">
        <v>246</v>
      </c>
      <c r="N249" s="632">
        <v>21306.81</v>
      </c>
      <c r="O249" s="633">
        <f>D223</f>
        <v>16476.3989110724</v>
      </c>
      <c r="P249" s="633">
        <f t="shared" ref="P249:P251" si="26">O249-N249</f>
        <v>-4830.41108892756</v>
      </c>
      <c r="Q249" s="634">
        <f t="shared" ref="Q249:Q251" si="27">P249/N249</f>
        <v>-0.226707380829301</v>
      </c>
    </row>
    <row r="250" customHeight="true" spans="2:17">
      <c r="B250" s="590" t="s">
        <v>247</v>
      </c>
      <c r="C250" s="608"/>
      <c r="D250" s="608"/>
      <c r="E250" s="541"/>
      <c r="F250" s="542"/>
      <c r="L250" s="628">
        <v>3</v>
      </c>
      <c r="M250" s="632" t="s">
        <v>248</v>
      </c>
      <c r="N250" s="632">
        <v>7116.83</v>
      </c>
      <c r="O250" s="633">
        <f>D225</f>
        <v>6804.29644555362</v>
      </c>
      <c r="P250" s="633">
        <f t="shared" si="26"/>
        <v>-312.533554446378</v>
      </c>
      <c r="Q250" s="634">
        <f t="shared" si="27"/>
        <v>-0.0439147140575759</v>
      </c>
    </row>
    <row r="251" customHeight="true" spans="2:17">
      <c r="B251" s="590" t="s">
        <v>249</v>
      </c>
      <c r="C251" s="608"/>
      <c r="D251" s="608"/>
      <c r="E251" s="541"/>
      <c r="F251" s="542"/>
      <c r="L251" s="628">
        <v>4</v>
      </c>
      <c r="M251" s="632" t="s">
        <v>250</v>
      </c>
      <c r="N251" s="632">
        <v>153687.93</v>
      </c>
      <c r="O251" s="633">
        <f>D234</f>
        <v>146856.625356626</v>
      </c>
      <c r="P251" s="633">
        <f t="shared" si="26"/>
        <v>-6831.30464337394</v>
      </c>
      <c r="Q251" s="634">
        <f t="shared" si="27"/>
        <v>-0.0444491941779288</v>
      </c>
    </row>
    <row r="252" customHeight="true" spans="2:7">
      <c r="B252" s="590" t="s">
        <v>251</v>
      </c>
      <c r="C252" s="607"/>
      <c r="D252" s="607"/>
      <c r="E252" s="614"/>
      <c r="F252" s="615"/>
      <c r="G252" s="616" t="e">
        <f>+#REF!/#REF!</f>
        <v>#REF!</v>
      </c>
    </row>
    <row r="253" customHeight="true" spans="2:17">
      <c r="B253" s="590" t="s">
        <v>252</v>
      </c>
      <c r="C253" s="607"/>
      <c r="D253" s="607"/>
      <c r="E253" s="614"/>
      <c r="F253" s="615"/>
      <c r="G253" s="608"/>
      <c r="H253" s="522"/>
      <c r="L253" s="625" t="s">
        <v>253</v>
      </c>
      <c r="M253"/>
      <c r="N253"/>
      <c r="O253"/>
      <c r="P253"/>
      <c r="Q253"/>
    </row>
    <row r="254" customHeight="true" spans="2:17">
      <c r="B254" s="590" t="s">
        <v>254</v>
      </c>
      <c r="G254" s="590" t="e">
        <f>IF(#REF!&lt;=3000,1/3000*#REF!,IF(#REF!&lt;=20000,2+(4-2)/17000*(#REF!-3000),IF(#REF!&lt;=100000,4+(7-4)/80000*(#REF!-20000),#REF!/100000*7)))</f>
        <v>#REF!</v>
      </c>
      <c r="L254" s="626" t="s">
        <v>2</v>
      </c>
      <c r="M254" s="626" t="s">
        <v>236</v>
      </c>
      <c r="N254" s="630" t="s">
        <v>255</v>
      </c>
      <c r="O254" s="626" t="s">
        <v>238</v>
      </c>
      <c r="P254" s="626" t="s">
        <v>239</v>
      </c>
      <c r="Q254" s="626" t="s">
        <v>240</v>
      </c>
    </row>
    <row r="255" customHeight="true" spans="2:17">
      <c r="B255" s="590" t="s">
        <v>256</v>
      </c>
      <c r="C255" s="608"/>
      <c r="D255" s="608"/>
      <c r="E255" s="541"/>
      <c r="F255" s="542"/>
      <c r="L255" s="627"/>
      <c r="M255" s="627"/>
      <c r="N255" s="631" t="s">
        <v>242</v>
      </c>
      <c r="O255" s="627"/>
      <c r="P255" s="627"/>
      <c r="Q255" s="627"/>
    </row>
    <row r="256" customHeight="true" spans="2:17">
      <c r="B256" s="590" t="s">
        <v>257</v>
      </c>
      <c r="C256" s="608"/>
      <c r="D256" s="608"/>
      <c r="E256" s="541"/>
      <c r="F256" s="542"/>
      <c r="G256" s="590" t="e">
        <f>IF(#REF!&lt;=3000,0.5/3000*#REF!,IF(#REF!&lt;=20000,0.8+(1.5-0.8)/17000*(#REF!-3000),IF(#REF!&lt;=100000,1.5+(2-1.5)/80000*(#REF!-20000),#REF!/100000*2)))</f>
        <v>#REF!</v>
      </c>
      <c r="L256" s="628">
        <v>1</v>
      </c>
      <c r="M256" s="632" t="s">
        <v>244</v>
      </c>
      <c r="N256" s="632">
        <v>125802.76</v>
      </c>
      <c r="O256" s="633">
        <f>O248</f>
        <v>123575.93</v>
      </c>
      <c r="P256" s="632">
        <f>O256-N256</f>
        <v>-2226.83</v>
      </c>
      <c r="Q256" s="634">
        <f>P256/N256</f>
        <v>-0.0177009629995399</v>
      </c>
    </row>
    <row r="257" customHeight="true" spans="2:17">
      <c r="B257" s="590" t="s">
        <v>249</v>
      </c>
      <c r="C257" s="608"/>
      <c r="D257" s="608"/>
      <c r="E257" s="541"/>
      <c r="F257" s="542"/>
      <c r="L257" s="628">
        <v>2</v>
      </c>
      <c r="M257" s="632" t="s">
        <v>246</v>
      </c>
      <c r="N257" s="662">
        <f>C223</f>
        <v>21661.5141334564</v>
      </c>
      <c r="O257" s="633">
        <f>O249</f>
        <v>16476.3989110724</v>
      </c>
      <c r="P257" s="633">
        <f t="shared" ref="P257:P259" si="28">O257-N257</f>
        <v>-5185.11522238392</v>
      </c>
      <c r="Q257" s="634">
        <f t="shared" ref="Q257:Q259" si="29">P257/N257</f>
        <v>-0.239369934642541</v>
      </c>
    </row>
    <row r="258" customHeight="true" spans="2:17">
      <c r="B258" s="590" t="s">
        <v>258</v>
      </c>
      <c r="C258" s="635"/>
      <c r="D258" s="635"/>
      <c r="E258" s="648"/>
      <c r="F258" s="649"/>
      <c r="G258" s="635"/>
      <c r="I258" s="522"/>
      <c r="J258" s="522"/>
      <c r="K258" s="522"/>
      <c r="L258" s="628">
        <v>3</v>
      </c>
      <c r="M258" s="632" t="s">
        <v>248</v>
      </c>
      <c r="N258" s="662">
        <f>C226</f>
        <v>7174.89358667282</v>
      </c>
      <c r="O258" s="633">
        <f>O250</f>
        <v>6804.29644555362</v>
      </c>
      <c r="P258" s="633">
        <f t="shared" si="28"/>
        <v>-370.597141119198</v>
      </c>
      <c r="Q258" s="634">
        <f t="shared" si="29"/>
        <v>-0.0516519355503157</v>
      </c>
    </row>
    <row r="259" customHeight="true" spans="2:17">
      <c r="B259" s="636" t="s">
        <v>259</v>
      </c>
      <c r="C259" s="637"/>
      <c r="D259" s="637"/>
      <c r="E259" s="650"/>
      <c r="F259" s="651"/>
      <c r="G259" s="638"/>
      <c r="H259" s="522" t="s">
        <v>260</v>
      </c>
      <c r="I259" s="522"/>
      <c r="J259" s="522"/>
      <c r="K259" s="522"/>
      <c r="L259" s="628">
        <v>4</v>
      </c>
      <c r="M259" s="632" t="s">
        <v>250</v>
      </c>
      <c r="N259" s="662">
        <f>C234</f>
        <v>154639.165320129</v>
      </c>
      <c r="O259" s="633">
        <f>O251</f>
        <v>146856.625356626</v>
      </c>
      <c r="P259" s="633">
        <f t="shared" si="28"/>
        <v>-7782.53996350314</v>
      </c>
      <c r="Q259" s="634">
        <f t="shared" si="29"/>
        <v>-0.0503270949981653</v>
      </c>
    </row>
    <row r="260" customHeight="true" spans="2:11">
      <c r="B260" s="636" t="s">
        <v>261</v>
      </c>
      <c r="C260" s="637"/>
      <c r="D260" s="637"/>
      <c r="E260" s="650"/>
      <c r="F260" s="651"/>
      <c r="G260" s="635"/>
      <c r="H260" s="635"/>
      <c r="I260" s="522"/>
      <c r="J260" s="522"/>
      <c r="K260" s="522"/>
    </row>
    <row r="261" customHeight="true" spans="2:11">
      <c r="B261" s="636" t="s">
        <v>262</v>
      </c>
      <c r="C261" s="637"/>
      <c r="D261" s="637"/>
      <c r="E261" s="650"/>
      <c r="F261" s="651"/>
      <c r="G261" s="635"/>
      <c r="H261" s="635"/>
      <c r="I261" s="522"/>
      <c r="J261" s="522"/>
      <c r="K261" s="522"/>
    </row>
    <row r="262" customHeight="true" spans="2:11">
      <c r="B262" s="636" t="s">
        <v>263</v>
      </c>
      <c r="C262" s="637"/>
      <c r="D262" s="637"/>
      <c r="E262" s="650"/>
      <c r="F262" s="651"/>
      <c r="G262" s="635"/>
      <c r="H262" s="635"/>
      <c r="I262" s="522"/>
      <c r="J262" s="522"/>
      <c r="K262" s="522"/>
    </row>
    <row r="263" customHeight="true" spans="2:8">
      <c r="B263" s="590" t="s">
        <v>249</v>
      </c>
      <c r="C263" s="608"/>
      <c r="D263" s="608"/>
      <c r="E263" s="541"/>
      <c r="F263" s="542"/>
      <c r="H263" s="635"/>
    </row>
    <row r="264" customHeight="true" spans="2:11">
      <c r="B264" s="590" t="s">
        <v>264</v>
      </c>
      <c r="G264" s="522"/>
      <c r="I264" s="522"/>
      <c r="J264" s="522"/>
      <c r="K264" s="522"/>
    </row>
    <row r="265" customHeight="true" spans="2:11">
      <c r="B265" s="590" t="s">
        <v>265</v>
      </c>
      <c r="C265" s="607"/>
      <c r="D265" s="607"/>
      <c r="E265" s="614"/>
      <c r="F265" s="615"/>
      <c r="G265" s="608"/>
      <c r="H265" s="522" t="s">
        <v>266</v>
      </c>
      <c r="I265" s="522"/>
      <c r="J265" s="522"/>
      <c r="K265" s="522"/>
    </row>
    <row r="266" customHeight="true" spans="2:11">
      <c r="B266" s="590" t="s">
        <v>267</v>
      </c>
      <c r="C266" s="607"/>
      <c r="D266" s="607"/>
      <c r="E266" s="614"/>
      <c r="F266" s="615"/>
      <c r="G266" s="522"/>
      <c r="H266" s="522"/>
      <c r="I266" s="522"/>
      <c r="J266" s="522"/>
      <c r="K266" s="522"/>
    </row>
    <row r="267" customHeight="true" spans="2:11">
      <c r="B267" s="590" t="s">
        <v>268</v>
      </c>
      <c r="C267" s="607"/>
      <c r="D267" s="607"/>
      <c r="E267" s="614"/>
      <c r="F267" s="615"/>
      <c r="G267" s="522"/>
      <c r="H267" s="522"/>
      <c r="I267" s="522"/>
      <c r="J267" s="522"/>
      <c r="K267" s="522"/>
    </row>
    <row r="268" customHeight="true" spans="2:11">
      <c r="B268" s="590" t="s">
        <v>269</v>
      </c>
      <c r="C268" s="607"/>
      <c r="D268" s="607"/>
      <c r="E268" s="614"/>
      <c r="F268" s="615"/>
      <c r="G268" s="522"/>
      <c r="H268" s="522"/>
      <c r="I268" s="522"/>
      <c r="J268" s="522"/>
      <c r="K268" s="522"/>
    </row>
    <row r="269" customHeight="true" spans="2:8">
      <c r="B269" s="590" t="s">
        <v>249</v>
      </c>
      <c r="C269" s="608"/>
      <c r="D269" s="608"/>
      <c r="E269" s="541"/>
      <c r="F269" s="542"/>
      <c r="H269" s="522"/>
    </row>
    <row r="270" customHeight="true" spans="2:11">
      <c r="B270" s="590" t="s">
        <v>270</v>
      </c>
      <c r="G270" s="522"/>
      <c r="I270" s="522"/>
      <c r="J270" s="522"/>
      <c r="K270" s="522"/>
    </row>
    <row r="271" customHeight="true" spans="2:11">
      <c r="B271" s="590" t="s">
        <v>271</v>
      </c>
      <c r="C271" s="607"/>
      <c r="D271" s="607"/>
      <c r="E271" s="614"/>
      <c r="F271" s="615"/>
      <c r="G271" s="608"/>
      <c r="H271" s="522" t="s">
        <v>272</v>
      </c>
      <c r="I271" s="522"/>
      <c r="J271" s="522"/>
      <c r="K271" s="522"/>
    </row>
    <row r="272" customHeight="true" spans="2:11">
      <c r="B272" s="590" t="s">
        <v>273</v>
      </c>
      <c r="C272" s="607"/>
      <c r="D272" s="607"/>
      <c r="E272" s="614"/>
      <c r="F272" s="615"/>
      <c r="G272" s="522"/>
      <c r="H272" s="522"/>
      <c r="I272" s="522"/>
      <c r="J272" s="522"/>
      <c r="K272" s="522"/>
    </row>
    <row r="273" customHeight="true" spans="2:8">
      <c r="B273" s="590" t="s">
        <v>274</v>
      </c>
      <c r="C273" s="608"/>
      <c r="D273" s="608"/>
      <c r="E273" s="541"/>
      <c r="F273" s="542"/>
      <c r="H273" s="522"/>
    </row>
    <row r="274" customHeight="true" spans="2:11">
      <c r="B274" s="590" t="s">
        <v>275</v>
      </c>
      <c r="C274" s="522"/>
      <c r="E274" s="541"/>
      <c r="F274" s="542"/>
      <c r="G274" s="522"/>
      <c r="I274" s="522"/>
      <c r="J274" s="522"/>
      <c r="K274" s="522"/>
    </row>
    <row r="275" customHeight="true" spans="2:11">
      <c r="B275" s="590" t="s">
        <v>276</v>
      </c>
      <c r="C275" s="607"/>
      <c r="D275" s="607"/>
      <c r="E275" s="614"/>
      <c r="F275" s="615"/>
      <c r="G275" s="616" t="e">
        <f>+#REF!/#REF!</f>
        <v>#REF!</v>
      </c>
      <c r="H275" s="522" t="s">
        <v>277</v>
      </c>
      <c r="I275" s="522"/>
      <c r="J275" s="522"/>
      <c r="K275" s="522"/>
    </row>
    <row r="276" customHeight="true" spans="2:11">
      <c r="B276" s="590" t="s">
        <v>278</v>
      </c>
      <c r="C276" s="607"/>
      <c r="D276" s="607"/>
      <c r="E276" s="614"/>
      <c r="F276" s="615"/>
      <c r="G276" s="616" t="e">
        <f>+#REF!/#REF!</f>
        <v>#REF!</v>
      </c>
      <c r="H276" s="522"/>
      <c r="I276" s="522"/>
      <c r="J276" s="522"/>
      <c r="K276" s="522"/>
    </row>
    <row r="277" customHeight="true" spans="2:11">
      <c r="B277" s="590" t="s">
        <v>279</v>
      </c>
      <c r="C277" s="607"/>
      <c r="D277" s="607"/>
      <c r="E277" s="614"/>
      <c r="F277" s="615"/>
      <c r="G277" s="616" t="e">
        <f>+#REF!/#REF!</f>
        <v>#REF!</v>
      </c>
      <c r="H277" s="522"/>
      <c r="I277" s="522"/>
      <c r="J277" s="522"/>
      <c r="K277" s="522"/>
    </row>
    <row r="278" customHeight="true" spans="2:11">
      <c r="B278" s="590" t="s">
        <v>280</v>
      </c>
      <c r="C278" s="607"/>
      <c r="D278" s="607"/>
      <c r="E278" s="614"/>
      <c r="F278" s="615"/>
      <c r="G278" s="616" t="e">
        <f>+#REF!/#REF!</f>
        <v>#REF!</v>
      </c>
      <c r="H278" s="522"/>
      <c r="I278" s="522"/>
      <c r="J278" s="522"/>
      <c r="K278" s="522"/>
    </row>
    <row r="279" customHeight="true" spans="2:11">
      <c r="B279" s="636" t="s">
        <v>249</v>
      </c>
      <c r="C279" s="638"/>
      <c r="D279" s="638"/>
      <c r="E279" s="648"/>
      <c r="F279" s="649"/>
      <c r="G279" s="635"/>
      <c r="H279" s="522"/>
      <c r="I279" s="522"/>
      <c r="J279" s="522"/>
      <c r="K279" s="522"/>
    </row>
    <row r="280" customHeight="true" spans="2:11">
      <c r="B280" s="590" t="s">
        <v>281</v>
      </c>
      <c r="C280" s="522"/>
      <c r="E280" s="541"/>
      <c r="F280" s="542"/>
      <c r="G280" s="522"/>
      <c r="H280" s="635"/>
      <c r="I280" s="522"/>
      <c r="J280" s="522"/>
      <c r="K280" s="522"/>
    </row>
    <row r="281" customHeight="true" spans="2:11">
      <c r="B281" s="590" t="s">
        <v>282</v>
      </c>
      <c r="C281" s="607"/>
      <c r="D281" s="607"/>
      <c r="E281" s="614"/>
      <c r="F281" s="615"/>
      <c r="G281" s="616" t="e">
        <f>+#REF!/#REF!</f>
        <v>#REF!</v>
      </c>
      <c r="H281" s="522"/>
      <c r="I281" s="522"/>
      <c r="K281" s="522"/>
    </row>
    <row r="282" customHeight="true" spans="2:11">
      <c r="B282" s="590" t="s">
        <v>283</v>
      </c>
      <c r="C282" s="607"/>
      <c r="D282" s="607"/>
      <c r="E282" s="614"/>
      <c r="F282" s="615"/>
      <c r="G282" s="616" t="e">
        <f>+#REF!/#REF!</f>
        <v>#REF!</v>
      </c>
      <c r="H282" s="522"/>
      <c r="I282" s="522"/>
      <c r="K282" s="522"/>
    </row>
    <row r="283" customHeight="true" spans="2:11">
      <c r="B283" s="590" t="s">
        <v>284</v>
      </c>
      <c r="C283" s="607"/>
      <c r="D283" s="607"/>
      <c r="E283" s="614"/>
      <c r="F283" s="615"/>
      <c r="G283" s="616" t="e">
        <f>+#REF!/#REF!</f>
        <v>#REF!</v>
      </c>
      <c r="H283" s="522"/>
      <c r="I283" s="522"/>
      <c r="K283" s="522"/>
    </row>
    <row r="284" customHeight="true" spans="2:8">
      <c r="B284" s="590" t="s">
        <v>285</v>
      </c>
      <c r="C284" s="607"/>
      <c r="D284" s="607"/>
      <c r="E284" s="614"/>
      <c r="F284" s="615"/>
      <c r="G284" s="616" t="e">
        <f>+#REF!/#REF!</f>
        <v>#REF!</v>
      </c>
      <c r="H284" s="522"/>
    </row>
    <row r="285" customHeight="true" spans="2:9">
      <c r="B285" s="590" t="s">
        <v>286</v>
      </c>
      <c r="C285" s="607"/>
      <c r="D285" s="607"/>
      <c r="E285" s="614"/>
      <c r="F285" s="615"/>
      <c r="G285" s="616" t="s">
        <v>287</v>
      </c>
      <c r="I285" s="616" t="s">
        <v>288</v>
      </c>
    </row>
    <row r="286" customHeight="true" spans="2:9">
      <c r="B286" s="590" t="s">
        <v>289</v>
      </c>
      <c r="C286" s="607"/>
      <c r="D286" s="607"/>
      <c r="E286" s="614"/>
      <c r="F286" s="615"/>
      <c r="G286" s="652">
        <v>0.9</v>
      </c>
      <c r="H286" s="616" t="s">
        <v>290</v>
      </c>
      <c r="I286" s="518">
        <v>0.4</v>
      </c>
    </row>
    <row r="287" customHeight="true" spans="2:8">
      <c r="B287" s="590" t="s">
        <v>291</v>
      </c>
      <c r="C287" s="607"/>
      <c r="D287" s="607"/>
      <c r="E287" s="614"/>
      <c r="F287" s="615"/>
      <c r="G287" s="616"/>
      <c r="H287" s="518">
        <v>1</v>
      </c>
    </row>
    <row r="288" customHeight="true" spans="2:7">
      <c r="B288" s="590" t="s">
        <v>292</v>
      </c>
      <c r="C288" s="607"/>
      <c r="D288" s="607"/>
      <c r="E288" s="614"/>
      <c r="F288" s="615"/>
      <c r="G288" s="616"/>
    </row>
    <row r="289" customHeight="true" spans="2:7">
      <c r="B289" s="590" t="s">
        <v>293</v>
      </c>
      <c r="C289" s="607"/>
      <c r="D289" s="607"/>
      <c r="E289" s="614"/>
      <c r="F289" s="615"/>
      <c r="G289" s="616"/>
    </row>
    <row r="290" customHeight="true" spans="2:6">
      <c r="B290" s="590" t="s">
        <v>294</v>
      </c>
      <c r="C290" s="607"/>
      <c r="D290" s="607"/>
      <c r="E290" s="614"/>
      <c r="F290" s="615"/>
    </row>
    <row r="291" customHeight="true" spans="2:6">
      <c r="B291" s="590" t="s">
        <v>295</v>
      </c>
      <c r="C291" s="607"/>
      <c r="D291" s="607"/>
      <c r="E291" s="614"/>
      <c r="F291" s="615"/>
    </row>
    <row r="292" s="521" customFormat="true" customHeight="true" spans="1:9">
      <c r="A292" s="639"/>
      <c r="B292" s="640" t="s">
        <v>183</v>
      </c>
      <c r="C292" s="541"/>
      <c r="D292" s="541"/>
      <c r="E292" s="541"/>
      <c r="F292" s="542"/>
      <c r="H292" s="653"/>
      <c r="I292" s="653"/>
    </row>
    <row r="293" customHeight="true" spans="2:6">
      <c r="B293" s="590"/>
      <c r="C293" s="607"/>
      <c r="D293" s="607"/>
      <c r="E293" s="614"/>
      <c r="F293" s="615"/>
    </row>
    <row r="294" customHeight="true" spans="2:2">
      <c r="B294" s="590"/>
    </row>
    <row r="295" customHeight="true" spans="2:2">
      <c r="B295" s="590"/>
    </row>
    <row r="296" customHeight="true" spans="2:12">
      <c r="B296" s="522"/>
      <c r="G296" s="518" t="b">
        <f t="shared" ref="G296:J296" si="30">+IF(G299*0.8&lt;=G309,FALSE,TRUE)</f>
        <v>0</v>
      </c>
      <c r="I296" s="518" t="b">
        <f t="shared" si="30"/>
        <v>0</v>
      </c>
      <c r="J296" s="518" t="b">
        <f t="shared" si="30"/>
        <v>0</v>
      </c>
      <c r="K296" s="516"/>
      <c r="L296" s="516"/>
    </row>
    <row r="297" customHeight="true" spans="2:10">
      <c r="B297" s="83" t="s">
        <v>296</v>
      </c>
      <c r="C297" s="641"/>
      <c r="D297" s="548"/>
      <c r="E297" s="654"/>
      <c r="F297" s="655"/>
      <c r="G297" s="641" t="s">
        <v>297</v>
      </c>
      <c r="H297" s="518" t="b">
        <f>+IF(H300*0.8&lt;=H310,FALSE,TRUE)</f>
        <v>0</v>
      </c>
      <c r="I297" s="641" t="s">
        <v>298</v>
      </c>
      <c r="J297" s="641" t="s">
        <v>299</v>
      </c>
    </row>
    <row r="298" customHeight="true" spans="2:10">
      <c r="B298" s="83" t="s">
        <v>300</v>
      </c>
      <c r="C298" s="642"/>
      <c r="D298" s="572"/>
      <c r="E298" s="656"/>
      <c r="F298" s="89"/>
      <c r="G298" s="642"/>
      <c r="H298" s="641"/>
      <c r="I298" s="642"/>
      <c r="J298" s="642"/>
    </row>
    <row r="299" customHeight="true" spans="2:10">
      <c r="B299" s="83" t="s">
        <v>301</v>
      </c>
      <c r="C299" s="88"/>
      <c r="D299" s="643"/>
      <c r="E299" s="90"/>
      <c r="F299" s="88"/>
      <c r="G299" s="88">
        <f t="shared" ref="G299:J299" si="31">+IF(G298=0,0,G300/G298)</f>
        <v>0</v>
      </c>
      <c r="H299" s="642"/>
      <c r="I299" s="88">
        <f t="shared" si="31"/>
        <v>0</v>
      </c>
      <c r="J299" s="88">
        <f t="shared" si="31"/>
        <v>0</v>
      </c>
    </row>
    <row r="300" customHeight="true" spans="2:10">
      <c r="B300" s="83" t="s">
        <v>302</v>
      </c>
      <c r="C300" s="642"/>
      <c r="D300" s="572"/>
      <c r="E300" s="656"/>
      <c r="F300" s="89"/>
      <c r="G300" s="642">
        <f t="shared" ref="G300:J300" si="32">IF(G298&lt;=200,G298*0.045,IF(G298&lt;=500,9+(G298-200)*11.9/300,IF(G298&lt;=1000,20.9+(G298-500)*17.9/500,IF(G298&lt;=3000,38.8+(G298-1000)*65/2000,IF(G298&lt;=5000,103.8+(G298-3000)*60.1/2000,IF(G298&lt;=8000,163.9+(G298-5000)*85.7/3000,IF(G298&lt;=10000,249.6+(G298-8000)*55.2/2000,IF(G298&lt;=20000,304.8+(G298-10000)*262/10000,0))))))))+IF(G298&gt;=600000,11897.5+(G298-600000)*3493.9/200000,IF(G298&gt;=400000,8276.7+(G298-400000)*3620.8/200000,IF(G298&gt;=200000,4450.8+(G298-200000)*3825.9/200000,IF(G298&gt;=100000,2393.4+(G298-100000)*2057.4/100000,IF(G298&gt;=80000,1960.1+(G298-80000)*433.3/20000,IF(G298&gt;=60000,1515.2+(G298-60000)*444.9/20000,IF(G298&gt;=40000,1054+(G298-40000)*461.2/20000,IF(G298&gt;20000,566.8+(G298-20000)*487.2/20000,0))))))))</f>
        <v>0</v>
      </c>
      <c r="H300" s="88">
        <f>+IF(H299=0,0,H301/H299)</f>
        <v>0</v>
      </c>
      <c r="I300" s="642">
        <f t="shared" si="32"/>
        <v>0</v>
      </c>
      <c r="J300" s="642">
        <f t="shared" si="32"/>
        <v>0</v>
      </c>
    </row>
    <row r="301" customHeight="true" spans="2:10">
      <c r="B301" s="83" t="s">
        <v>303</v>
      </c>
      <c r="C301" s="642"/>
      <c r="D301" s="572"/>
      <c r="E301" s="656"/>
      <c r="F301" s="89"/>
      <c r="G301" s="642">
        <v>1.1</v>
      </c>
      <c r="H301" s="642">
        <f>IF(H299&lt;=200,H299*0.045,IF(H299&lt;=500,9+(H299-200)*11.9/300,IF(H299&lt;=1000,20.9+(H299-500)*17.9/500,IF(H299&lt;=3000,38.8+(H299-1000)*65/2000,IF(H299&lt;=5000,103.8+(H299-3000)*60.1/2000,IF(H299&lt;=8000,163.9+(H299-5000)*85.7/3000,IF(H299&lt;=10000,249.6+(H299-8000)*55.2/2000,IF(H299&lt;=20000,304.8+(H299-10000)*262/10000,0))))))))+IF(H299&gt;=600000,11897.5+(H299-600000)*3493.9/200000,IF(H299&gt;=400000,8276.7+(H299-400000)*3620.8/200000,IF(H299&gt;=200000,4450.8+(H299-200000)*3825.9/200000,IF(H299&gt;=100000,2393.4+(H299-100000)*2057.4/100000,IF(H299&gt;=80000,1960.1+(H299-80000)*433.3/20000,IF(H299&gt;=60000,1515.2+(H299-60000)*444.9/20000,IF(H299&gt;=40000,1054+(H299-40000)*461.2/20000,IF(H299&gt;20000,566.8+(H299-20000)*487.2/20000,0))))))))</f>
        <v>0</v>
      </c>
      <c r="I301" s="642">
        <v>0.9</v>
      </c>
      <c r="J301" s="642">
        <v>1.1</v>
      </c>
    </row>
    <row r="302" customHeight="true" spans="2:10">
      <c r="B302" s="83" t="s">
        <v>290</v>
      </c>
      <c r="C302" s="642"/>
      <c r="D302" s="572"/>
      <c r="E302" s="656"/>
      <c r="F302" s="89"/>
      <c r="G302" s="642">
        <v>1</v>
      </c>
      <c r="H302" s="642">
        <v>0.9</v>
      </c>
      <c r="I302" s="642">
        <v>0.9</v>
      </c>
      <c r="J302" s="642">
        <v>0.85</v>
      </c>
    </row>
    <row r="303" customHeight="true" spans="2:10">
      <c r="B303" s="83" t="s">
        <v>304</v>
      </c>
      <c r="C303" s="642"/>
      <c r="D303" s="572"/>
      <c r="E303" s="656"/>
      <c r="F303" s="89"/>
      <c r="G303" s="642">
        <v>1</v>
      </c>
      <c r="H303" s="642">
        <v>0.9</v>
      </c>
      <c r="I303" s="642">
        <v>1</v>
      </c>
      <c r="J303" s="642">
        <v>1</v>
      </c>
    </row>
    <row r="304" customHeight="true" spans="2:10">
      <c r="B304" s="83" t="s">
        <v>155</v>
      </c>
      <c r="C304" s="644"/>
      <c r="D304" s="645"/>
      <c r="E304" s="657"/>
      <c r="F304" s="658"/>
      <c r="G304" s="644">
        <f t="shared" ref="G304:J304" si="33">G300*G301*G302*G303</f>
        <v>0</v>
      </c>
      <c r="H304" s="642">
        <v>1</v>
      </c>
      <c r="I304" s="644">
        <f t="shared" si="33"/>
        <v>0</v>
      </c>
      <c r="J304" s="644">
        <f t="shared" si="33"/>
        <v>0</v>
      </c>
    </row>
    <row r="305" customHeight="true" spans="2:10">
      <c r="B305" s="83" t="s">
        <v>305</v>
      </c>
      <c r="C305" s="642"/>
      <c r="D305" s="572"/>
      <c r="E305" s="656"/>
      <c r="F305" s="89"/>
      <c r="G305" s="642"/>
      <c r="H305" s="644">
        <f>H301*H302*H303*H304</f>
        <v>0</v>
      </c>
      <c r="I305" s="642"/>
      <c r="J305" s="88" t="e">
        <f>+#REF!/#REF!</f>
        <v>#REF!</v>
      </c>
    </row>
    <row r="306" customHeight="true" spans="2:8">
      <c r="B306" s="624"/>
      <c r="C306" s="624"/>
      <c r="D306" s="590"/>
      <c r="G306" s="516"/>
      <c r="H306" s="642"/>
    </row>
    <row r="307" customHeight="true" spans="2:10">
      <c r="B307" s="83" t="s">
        <v>296</v>
      </c>
      <c r="C307" s="641"/>
      <c r="D307" s="548"/>
      <c r="E307" s="654"/>
      <c r="F307" s="655"/>
      <c r="G307" s="641" t="str">
        <f t="shared" ref="G307:J307" si="34">+G297</f>
        <v>景观工程</v>
      </c>
      <c r="H307" s="516"/>
      <c r="I307" s="641" t="str">
        <f t="shared" si="34"/>
        <v>建筑工程</v>
      </c>
      <c r="J307" s="641" t="str">
        <f t="shared" si="34"/>
        <v>水运工程</v>
      </c>
    </row>
    <row r="308" customHeight="true" spans="2:10">
      <c r="B308" s="83" t="s">
        <v>300</v>
      </c>
      <c r="C308" s="642"/>
      <c r="D308" s="572"/>
      <c r="E308" s="656"/>
      <c r="F308" s="89"/>
      <c r="G308" s="642">
        <f t="shared" ref="G308:J308" si="35">+G298</f>
        <v>0</v>
      </c>
      <c r="H308" s="641">
        <f t="shared" si="35"/>
        <v>0</v>
      </c>
      <c r="I308" s="642">
        <f t="shared" si="35"/>
        <v>0</v>
      </c>
      <c r="J308" s="642">
        <f t="shared" si="35"/>
        <v>0</v>
      </c>
    </row>
    <row r="309" customHeight="true" spans="2:10">
      <c r="B309" s="83" t="s">
        <v>306</v>
      </c>
      <c r="C309" s="88"/>
      <c r="D309" s="643"/>
      <c r="E309" s="90"/>
      <c r="F309" s="88"/>
      <c r="G309" s="88">
        <f t="shared" ref="G309:J309" si="36">+IF(G308=0,0,G310/G308)</f>
        <v>0</v>
      </c>
      <c r="H309" s="642">
        <f>+H299</f>
        <v>0</v>
      </c>
      <c r="I309" s="88">
        <f t="shared" si="36"/>
        <v>0</v>
      </c>
      <c r="J309" s="88">
        <f t="shared" si="36"/>
        <v>0</v>
      </c>
    </row>
    <row r="310" customHeight="true" spans="2:10">
      <c r="B310" s="83" t="s">
        <v>307</v>
      </c>
      <c r="C310" s="642"/>
      <c r="D310" s="572"/>
      <c r="E310" s="656"/>
      <c r="F310" s="89"/>
      <c r="G310" s="642">
        <f t="shared" ref="G310:J310" si="37">IF(G308&lt;=500,G308*3.3%,IF(G308&lt;=1000,16.5+(G308-500)*13.6/500,IF(G308&lt;=3000,30.1+(G308-1000)*48/2000,IF(G308&lt;=5000,78.1+(G308-3000)*42.7/2000,IF(G308&lt;=8000,120.8+(G308-5000)*60.2/3000,IF(G308&lt;=10000,181+(G308-8000)*37.6/2000,IF(G308&lt;=20000,218.6+(G308-10000)*174.8/10000,IF(G308&lt;=40000,393.4+(G308-20000)*314.8/20000,0))))))))+IF(G308&gt;=800000,8658.4+(G308-800000)*1731.7/200000,IF(G308&gt;=600000,6835.6+(G308-600000)*1822.8/200000,IF(G308&gt;=400000,4882.6+(G308-400000)*1953/200000,IF(G308&gt;=200000,2712.5+(G308-200000)*2170.1/200000,IF(G308&gt;=100000,1507+(G308-100000)*1205.5/100000,IF(G308&gt;=80000,1255.8+(G308-80000)*251.2/20000,IF(G308&gt;=60000,991.4+(G308-60000)*264.4/20000,IF(G308&gt;40000,708.2+(G308-40000)*283.2/20000,))))))))</f>
        <v>0</v>
      </c>
      <c r="H310" s="88">
        <f>+IF(H309=0,0,H311/H309)</f>
        <v>0</v>
      </c>
      <c r="I310" s="642">
        <f t="shared" si="37"/>
        <v>0</v>
      </c>
      <c r="J310" s="642">
        <f t="shared" si="37"/>
        <v>0</v>
      </c>
    </row>
    <row r="311" customHeight="true" spans="2:10">
      <c r="B311" s="83" t="s">
        <v>303</v>
      </c>
      <c r="C311" s="642"/>
      <c r="D311" s="572"/>
      <c r="E311" s="656"/>
      <c r="F311" s="89"/>
      <c r="G311" s="642">
        <v>0.8</v>
      </c>
      <c r="H311" s="642">
        <f>IF(H309&lt;=500,H309*3.3%,IF(H309&lt;=1000,16.5+(H309-500)*13.6/500,IF(H309&lt;=3000,30.1+(H309-1000)*48/2000,IF(H309&lt;=5000,78.1+(H309-3000)*42.7/2000,IF(H309&lt;=8000,120.8+(H309-5000)*60.2/3000,IF(H309&lt;=10000,181+(H309-8000)*37.6/2000,IF(H309&lt;=20000,218.6+(H309-10000)*174.8/10000,IF(H309&lt;=40000,393.4+(H309-20000)*314.8/20000,0))))))))+IF(H309&gt;=800000,8658.4+(H309-800000)*1731.7/200000,IF(H309&gt;=600000,6835.6+(H309-600000)*1822.8/200000,IF(H309&gt;=400000,4882.6+(H309-400000)*1953/200000,IF(H309&gt;=200000,2712.5+(H309-200000)*2170.1/200000,IF(H309&gt;=100000,1507+(H309-100000)*1205.5/100000,IF(H309&gt;=80000,1255.8+(H309-80000)*251.2/20000,IF(H309&gt;=60000,991.4+(H309-60000)*264.4/20000,IF(H309&gt;40000,708.2+(H309-40000)*283.2/20000,))))))))</f>
        <v>0</v>
      </c>
      <c r="I311" s="642">
        <f>+I301</f>
        <v>0.9</v>
      </c>
      <c r="J311" s="642">
        <f>+J301</f>
        <v>1.1</v>
      </c>
    </row>
    <row r="312" customHeight="true" spans="2:10">
      <c r="B312" s="83" t="s">
        <v>290</v>
      </c>
      <c r="C312" s="642"/>
      <c r="D312" s="572"/>
      <c r="E312" s="656"/>
      <c r="F312" s="89"/>
      <c r="G312" s="642">
        <v>1</v>
      </c>
      <c r="H312" s="642">
        <f>+H302</f>
        <v>0.9</v>
      </c>
      <c r="I312" s="642">
        <f>+I302</f>
        <v>0.9</v>
      </c>
      <c r="J312" s="642">
        <f>+J302</f>
        <v>0.85</v>
      </c>
    </row>
    <row r="313" customHeight="true" spans="2:10">
      <c r="B313" s="83" t="s">
        <v>304</v>
      </c>
      <c r="C313" s="642"/>
      <c r="D313" s="572"/>
      <c r="E313" s="656"/>
      <c r="F313" s="89"/>
      <c r="G313" s="642">
        <f t="shared" ref="G313:J313" si="38">+G303</f>
        <v>1</v>
      </c>
      <c r="H313" s="642">
        <f t="shared" si="38"/>
        <v>0.9</v>
      </c>
      <c r="I313" s="642">
        <f t="shared" si="38"/>
        <v>1</v>
      </c>
      <c r="J313" s="642">
        <f t="shared" si="38"/>
        <v>1</v>
      </c>
    </row>
    <row r="314" customHeight="true" spans="2:10">
      <c r="B314" s="83" t="s">
        <v>308</v>
      </c>
      <c r="C314" s="644"/>
      <c r="D314" s="645"/>
      <c r="E314" s="657"/>
      <c r="F314" s="658"/>
      <c r="G314" s="644">
        <f t="shared" ref="G314:J314" si="39">G310*G311*G312*G313</f>
        <v>0</v>
      </c>
      <c r="H314" s="642">
        <f>+H304</f>
        <v>1</v>
      </c>
      <c r="I314" s="644">
        <f t="shared" si="39"/>
        <v>0</v>
      </c>
      <c r="J314" s="644">
        <f t="shared" si="39"/>
        <v>0</v>
      </c>
    </row>
    <row r="315" customHeight="true" spans="2:10">
      <c r="B315" s="83" t="s">
        <v>305</v>
      </c>
      <c r="C315" s="642"/>
      <c r="D315" s="572"/>
      <c r="E315" s="656"/>
      <c r="F315" s="89"/>
      <c r="G315" s="642"/>
      <c r="H315" s="644">
        <f>H311*H312*H313*H314</f>
        <v>0</v>
      </c>
      <c r="I315" s="642"/>
      <c r="J315" s="88" t="e">
        <f>+#REF!/#REF!</f>
        <v>#REF!</v>
      </c>
    </row>
    <row r="316" customHeight="true" spans="3:10">
      <c r="C316" s="624"/>
      <c r="D316" s="590"/>
      <c r="G316" s="624"/>
      <c r="H316" s="642"/>
      <c r="I316" s="624"/>
      <c r="J316" s="624"/>
    </row>
    <row r="317" customHeight="true" spans="3:10">
      <c r="C317" s="624"/>
      <c r="D317" s="590"/>
      <c r="G317" s="624"/>
      <c r="H317" s="624"/>
      <c r="I317" s="624"/>
      <c r="J317" s="624"/>
    </row>
    <row r="318" customHeight="true" spans="2:9">
      <c r="B318" s="646"/>
      <c r="C318" s="647"/>
      <c r="D318" s="647"/>
      <c r="E318" s="659"/>
      <c r="F318" s="660"/>
      <c r="G318" s="552"/>
      <c r="H318" s="624"/>
      <c r="I318" s="661">
        <v>0.049</v>
      </c>
    </row>
    <row r="319" customHeight="true" spans="2:9">
      <c r="B319" s="646"/>
      <c r="C319" s="83"/>
      <c r="D319" s="527"/>
      <c r="E319" s="656"/>
      <c r="F319" s="89"/>
      <c r="G319" s="83"/>
      <c r="H319" s="83"/>
      <c r="I319" s="642"/>
    </row>
    <row r="320" customHeight="true" spans="2:9">
      <c r="B320" s="83"/>
      <c r="C320" s="83"/>
      <c r="D320" s="527"/>
      <c r="E320" s="656"/>
      <c r="F320" s="89"/>
      <c r="G320" s="83"/>
      <c r="H320" s="83"/>
      <c r="I320" s="642">
        <f>SUM(C320:H320)</f>
        <v>0</v>
      </c>
    </row>
    <row r="321" customHeight="true" spans="8:8">
      <c r="H321" s="83"/>
    </row>
    <row r="324" customHeight="true" spans="1:7">
      <c r="A324" s="663" t="s">
        <v>309</v>
      </c>
      <c r="B324" s="663" t="s">
        <v>310</v>
      </c>
      <c r="C324" s="664"/>
      <c r="D324" s="664"/>
      <c r="E324" s="664"/>
      <c r="F324" s="664"/>
      <c r="G324" s="671"/>
    </row>
    <row r="325" customHeight="true" spans="1:7">
      <c r="A325" s="665"/>
      <c r="B325" s="665"/>
      <c r="C325" s="666"/>
      <c r="D325" s="667"/>
      <c r="E325" s="672"/>
      <c r="F325" s="673"/>
      <c r="G325" s="666" t="s">
        <v>311</v>
      </c>
    </row>
    <row r="326" customHeight="true" spans="1:7">
      <c r="A326" s="668" t="s">
        <v>312</v>
      </c>
      <c r="B326" s="666" t="s">
        <v>313</v>
      </c>
      <c r="C326" s="666"/>
      <c r="D326" s="667"/>
      <c r="E326" s="672"/>
      <c r="F326" s="673"/>
      <c r="G326" s="666">
        <v>1.9</v>
      </c>
    </row>
    <row r="327" customHeight="true" spans="1:7">
      <c r="A327" s="669"/>
      <c r="B327" s="666" t="s">
        <v>314</v>
      </c>
      <c r="C327" s="666"/>
      <c r="D327" s="667"/>
      <c r="E327" s="672"/>
      <c r="F327" s="673"/>
      <c r="G327" s="666">
        <v>1.55</v>
      </c>
    </row>
    <row r="328" customHeight="true" spans="1:7">
      <c r="A328" s="670"/>
      <c r="B328" s="666" t="s">
        <v>315</v>
      </c>
      <c r="C328" s="666"/>
      <c r="D328" s="667"/>
      <c r="E328" s="672"/>
      <c r="F328" s="673"/>
      <c r="G328" s="666">
        <v>3.69</v>
      </c>
    </row>
    <row r="329" customHeight="true" spans="7:7">
      <c r="G329" s="518">
        <f t="shared" ref="G329" si="40">SUM(G326:G328)</f>
        <v>7.14</v>
      </c>
    </row>
    <row r="339" customHeight="true" spans="3:4">
      <c r="C339" s="523"/>
      <c r="D339" s="542"/>
    </row>
    <row r="340" customHeight="true" spans="3:4">
      <c r="C340" s="523"/>
      <c r="D340" s="542"/>
    </row>
    <row r="341" customHeight="true" spans="3:4">
      <c r="C341" s="523"/>
      <c r="D341" s="542"/>
    </row>
    <row r="342" customHeight="true" spans="3:4">
      <c r="C342" s="523"/>
      <c r="D342" s="542"/>
    </row>
    <row r="343" customHeight="true" spans="3:4">
      <c r="C343" s="523"/>
      <c r="D343" s="542"/>
    </row>
    <row r="344" customHeight="true" spans="3:4">
      <c r="C344" s="523"/>
      <c r="D344" s="542"/>
    </row>
    <row r="345" customHeight="true" spans="3:4">
      <c r="C345" s="523"/>
      <c r="D345" s="542"/>
    </row>
    <row r="346" customHeight="true" spans="3:4">
      <c r="C346" s="523"/>
      <c r="D346" s="542"/>
    </row>
  </sheetData>
  <mergeCells count="24">
    <mergeCell ref="A1:J1"/>
    <mergeCell ref="A2:B2"/>
    <mergeCell ref="G3:I3"/>
    <mergeCell ref="C324:G324"/>
    <mergeCell ref="A3:A4"/>
    <mergeCell ref="A324:A325"/>
    <mergeCell ref="A326:A328"/>
    <mergeCell ref="B3:B4"/>
    <mergeCell ref="B324:B325"/>
    <mergeCell ref="C3:C4"/>
    <mergeCell ref="D3:D4"/>
    <mergeCell ref="E3:E4"/>
    <mergeCell ref="F3:F4"/>
    <mergeCell ref="J3:J4"/>
    <mergeCell ref="L246:L247"/>
    <mergeCell ref="L254:L255"/>
    <mergeCell ref="M246:M247"/>
    <mergeCell ref="M254:M255"/>
    <mergeCell ref="O246:O247"/>
    <mergeCell ref="O254:O255"/>
    <mergeCell ref="P246:P247"/>
    <mergeCell ref="P254:P255"/>
    <mergeCell ref="Q246:Q247"/>
    <mergeCell ref="Q254:Q255"/>
  </mergeCells>
  <conditionalFormatting sqref="K147">
    <cfRule type="cellIs" dxfId="0" priority="31" operator="notBetween">
      <formula>0.1</formula>
      <formula>0.2</formula>
    </cfRule>
  </conditionalFormatting>
  <conditionalFormatting sqref="D166">
    <cfRule type="cellIs" dxfId="1" priority="1" operator="notEqual">
      <formula>SUM(#REF!)</formula>
    </cfRule>
  </conditionalFormatting>
  <conditionalFormatting sqref="D168">
    <cfRule type="cellIs" dxfId="1" priority="13" operator="notEqual">
      <formula>SUM(#REF!)</formula>
    </cfRule>
  </conditionalFormatting>
  <conditionalFormatting sqref="D169">
    <cfRule type="cellIs" dxfId="1" priority="12" operator="notEqual">
      <formula>SUM(#REF!)</formula>
    </cfRule>
  </conditionalFormatting>
  <conditionalFormatting sqref="D170">
    <cfRule type="cellIs" dxfId="1" priority="11" operator="notEqual">
      <formula>SUM(#REF!)</formula>
    </cfRule>
  </conditionalFormatting>
  <conditionalFormatting sqref="D171">
    <cfRule type="cellIs" dxfId="1" priority="10" operator="notEqual">
      <formula>SUM(#REF!)</formula>
    </cfRule>
  </conditionalFormatting>
  <conditionalFormatting sqref="D172">
    <cfRule type="cellIs" dxfId="1" priority="9" operator="notEqual">
      <formula>SUM(#REF!)</formula>
    </cfRule>
  </conditionalFormatting>
  <conditionalFormatting sqref="D173">
    <cfRule type="cellIs" dxfId="1" priority="8" operator="notEqual">
      <formula>SUM(#REF!)</formula>
    </cfRule>
  </conditionalFormatting>
  <conditionalFormatting sqref="D174">
    <cfRule type="cellIs" dxfId="1" priority="7" operator="notEqual">
      <formula>SUM(#REF!)</formula>
    </cfRule>
  </conditionalFormatting>
  <conditionalFormatting sqref="D175">
    <cfRule type="cellIs" dxfId="1" priority="6" operator="notEqual">
      <formula>SUM(#REF!)</formula>
    </cfRule>
  </conditionalFormatting>
  <conditionalFormatting sqref="D176">
    <cfRule type="cellIs" dxfId="1" priority="16" operator="notEqual">
      <formula>SUM(#REF!)</formula>
    </cfRule>
  </conditionalFormatting>
  <conditionalFormatting sqref="D177">
    <cfRule type="cellIs" dxfId="1" priority="5" operator="notEqual">
      <formula>SUM(#REF!)</formula>
    </cfRule>
  </conditionalFormatting>
  <conditionalFormatting sqref="F180">
    <cfRule type="cellIs" dxfId="1" priority="20" operator="notEqual">
      <formula>SUM(#REF!)</formula>
    </cfRule>
  </conditionalFormatting>
  <conditionalFormatting sqref="F184">
    <cfRule type="cellIs" dxfId="1" priority="17" operator="notEqual">
      <formula>SUM(#REF!)</formula>
    </cfRule>
  </conditionalFormatting>
  <conditionalFormatting sqref="F186">
    <cfRule type="cellIs" dxfId="1" priority="25" operator="notEqual">
      <formula>SUM(#REF!)</formula>
    </cfRule>
  </conditionalFormatting>
  <conditionalFormatting sqref="F189">
    <cfRule type="cellIs" dxfId="1" priority="24" operator="notEqual">
      <formula>SUM(#REF!)</formula>
    </cfRule>
  </conditionalFormatting>
  <conditionalFormatting sqref="D197">
    <cfRule type="cellIs" dxfId="1" priority="14" operator="notEqual">
      <formula>SUM(#REF!)</formula>
    </cfRule>
  </conditionalFormatting>
  <conditionalFormatting sqref="F206">
    <cfRule type="cellIs" dxfId="1" priority="4" operator="notEqual">
      <formula>SUM(#REF!)</formula>
    </cfRule>
  </conditionalFormatting>
  <conditionalFormatting sqref="E211">
    <cfRule type="cellIs" dxfId="1" priority="3" operator="notEqual">
      <formula>SUM(#REF!)</formula>
    </cfRule>
  </conditionalFormatting>
  <conditionalFormatting sqref="F211">
    <cfRule type="cellIs" dxfId="1" priority="2" operator="notEqual">
      <formula>SUM(#REF!)</formula>
    </cfRule>
  </conditionalFormatting>
  <conditionalFormatting sqref="D212">
    <cfRule type="cellIs" dxfId="1" priority="15" operator="notEqual">
      <formula>SUM(#REF!)</formula>
    </cfRule>
  </conditionalFormatting>
  <conditionalFormatting sqref="K226">
    <cfRule type="cellIs" dxfId="1" priority="30" operator="lessThan">
      <formula>0.03</formula>
    </cfRule>
  </conditionalFormatting>
  <conditionalFormatting sqref="J305">
    <cfRule type="cellIs" dxfId="1" priority="34" operator="lessThan">
      <formula>0.03</formula>
    </cfRule>
  </conditionalFormatting>
  <conditionalFormatting sqref="F149:F159">
    <cfRule type="cellIs" dxfId="1" priority="29" operator="notEqual">
      <formula>SUM(#REF!)</formula>
    </cfRule>
  </conditionalFormatting>
  <conditionalFormatting sqref="F181:F182">
    <cfRule type="cellIs" dxfId="1" priority="26" operator="notEqual">
      <formula>SUM(#REF!)</formula>
    </cfRule>
  </conditionalFormatting>
  <conditionalFormatting sqref="F200:F205">
    <cfRule type="cellIs" dxfId="1" priority="23" operator="notEqual">
      <formula>SUM(#REF!)</formula>
    </cfRule>
  </conditionalFormatting>
  <conditionalFormatting sqref="K184:K187">
    <cfRule type="cellIs" dxfId="1" priority="32" operator="lessThan">
      <formula>0.03</formula>
    </cfRule>
  </conditionalFormatting>
  <conditionalFormatting sqref="C5:F5 D6:D7 E6:F133 F134:F144 E212:E234 E134:E210">
    <cfRule type="cellIs" dxfId="1" priority="33" operator="notEqual">
      <formula>SUM(#REF!)</formula>
    </cfRule>
  </conditionalFormatting>
  <conditionalFormatting sqref="F167 F177 F171:F173">
    <cfRule type="cellIs" dxfId="1" priority="27" operator="notEqual">
      <formula>SUM(#REF!)</formula>
    </cfRule>
  </conditionalFormatting>
  <conditionalFormatting sqref="F207:F209 F213:F214 F216:F221">
    <cfRule type="cellIs" dxfId="1" priority="22" operator="notEqual">
      <formula>SUM(#REF!)</formula>
    </cfRule>
  </conditionalFormatting>
  <conditionalFormatting sqref="C296:G296 I296:J296 H297 K298">
    <cfRule type="cellIs" dxfId="2" priority="37" stopIfTrue="1" operator="equal">
      <formula>FALSE</formula>
    </cfRule>
  </conditionalFormatting>
  <conditionalFormatting sqref="C299:G300 I299:J300 H300:H301 C309:G309 I309:J309 H310">
    <cfRule type="cellIs" dxfId="3" priority="35" stopIfTrue="1" operator="greaterThanOrEqual">
      <formula>20000</formula>
    </cfRule>
  </conditionalFormatting>
  <conditionalFormatting sqref="C309:G310 I309:J310 H310:H311">
    <cfRule type="cellIs" dxfId="3" priority="36" stopIfTrue="1" operator="greaterThanOrEqual">
      <formula>40000</formula>
    </cfRule>
  </conditionalFormatting>
  <printOptions horizontalCentered="true"/>
  <pageMargins left="0.904861111111111" right="0.708333333333333" top="0.984027777777778" bottom="0.786805555555556" header="0.314583333333333" footer="0.314583333333333"/>
  <pageSetup paperSize="9" scale="84" fitToHeight="0" orientation="landscape" blackAndWhite="true"/>
  <headerFooter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I44"/>
  <sheetViews>
    <sheetView showZeros="0" view="pageBreakPreview" zoomScaleNormal="100" zoomScaleSheetLayoutView="100" workbookViewId="0">
      <selection activeCell="E12" sqref="E12"/>
    </sheetView>
  </sheetViews>
  <sheetFormatPr defaultColWidth="10" defaultRowHeight="14.25"/>
  <cols>
    <col min="1" max="1" width="1" style="234" customWidth="true"/>
    <col min="2" max="2" width="4.5" style="284" customWidth="true"/>
    <col min="3" max="3" width="17.625" style="234" customWidth="true"/>
    <col min="4" max="23" width="5.5" style="234" customWidth="true"/>
    <col min="24" max="28" width="5.75" style="234" customWidth="true"/>
    <col min="29" max="33" width="5.75" style="234" hidden="true" customWidth="true" outlineLevel="1"/>
    <col min="34" max="34" width="7.625" style="234" customWidth="true" collapsed="true"/>
    <col min="35" max="35" width="10" style="234" customWidth="true"/>
    <col min="36" max="16384" width="10" style="234"/>
  </cols>
  <sheetData>
    <row r="1" s="200" customFormat="true" ht="32.25" customHeight="true" spans="2:34">
      <c r="B1" s="203" t="s">
        <v>629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spans="2:34">
      <c r="B2" s="285" t="s">
        <v>617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</row>
    <row r="3" spans="2:34">
      <c r="B3" s="286" t="s">
        <v>493</v>
      </c>
      <c r="C3" s="287" t="s">
        <v>618</v>
      </c>
      <c r="D3" s="288" t="s">
        <v>621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 t="s">
        <v>621</v>
      </c>
      <c r="R3" s="288"/>
      <c r="S3" s="288"/>
      <c r="T3" s="288"/>
      <c r="U3" s="288"/>
      <c r="V3" s="288"/>
      <c r="W3" s="288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1" t="s">
        <v>305</v>
      </c>
    </row>
    <row r="4" spans="2:34">
      <c r="B4" s="289" t="s">
        <v>496</v>
      </c>
      <c r="C4" s="290" t="s">
        <v>475</v>
      </c>
      <c r="D4" s="291">
        <f>现金流量!J5</f>
        <v>3</v>
      </c>
      <c r="E4" s="291">
        <f t="shared" ref="E4:AG4" si="0">D4+1</f>
        <v>4</v>
      </c>
      <c r="F4" s="291">
        <f t="shared" si="0"/>
        <v>5</v>
      </c>
      <c r="G4" s="291">
        <f t="shared" si="0"/>
        <v>6</v>
      </c>
      <c r="H4" s="291">
        <f t="shared" si="0"/>
        <v>7</v>
      </c>
      <c r="I4" s="291">
        <f t="shared" si="0"/>
        <v>8</v>
      </c>
      <c r="J4" s="291">
        <f t="shared" si="0"/>
        <v>9</v>
      </c>
      <c r="K4" s="291">
        <f t="shared" si="0"/>
        <v>10</v>
      </c>
      <c r="L4" s="291">
        <f t="shared" si="0"/>
        <v>11</v>
      </c>
      <c r="M4" s="291">
        <f t="shared" si="0"/>
        <v>12</v>
      </c>
      <c r="N4" s="291">
        <f t="shared" si="0"/>
        <v>13</v>
      </c>
      <c r="O4" s="291">
        <f t="shared" si="0"/>
        <v>14</v>
      </c>
      <c r="P4" s="291">
        <f t="shared" si="0"/>
        <v>15</v>
      </c>
      <c r="Q4" s="291">
        <f t="shared" si="0"/>
        <v>16</v>
      </c>
      <c r="R4" s="291">
        <f t="shared" si="0"/>
        <v>17</v>
      </c>
      <c r="S4" s="291">
        <f t="shared" si="0"/>
        <v>18</v>
      </c>
      <c r="T4" s="291">
        <f t="shared" si="0"/>
        <v>19</v>
      </c>
      <c r="U4" s="291">
        <f t="shared" si="0"/>
        <v>20</v>
      </c>
      <c r="V4" s="291">
        <f t="shared" si="0"/>
        <v>21</v>
      </c>
      <c r="W4" s="291">
        <f t="shared" si="0"/>
        <v>22</v>
      </c>
      <c r="X4" s="291">
        <f t="shared" si="0"/>
        <v>23</v>
      </c>
      <c r="Y4" s="291">
        <f t="shared" si="0"/>
        <v>24</v>
      </c>
      <c r="Z4" s="291">
        <f t="shared" si="0"/>
        <v>25</v>
      </c>
      <c r="AA4" s="291">
        <f t="shared" si="0"/>
        <v>26</v>
      </c>
      <c r="AB4" s="291">
        <f t="shared" si="0"/>
        <v>27</v>
      </c>
      <c r="AC4" s="291">
        <f t="shared" si="0"/>
        <v>28</v>
      </c>
      <c r="AD4" s="291">
        <f t="shared" si="0"/>
        <v>29</v>
      </c>
      <c r="AE4" s="291">
        <f t="shared" si="0"/>
        <v>30</v>
      </c>
      <c r="AF4" s="291">
        <f t="shared" si="0"/>
        <v>31</v>
      </c>
      <c r="AG4" s="291">
        <f t="shared" si="0"/>
        <v>32</v>
      </c>
      <c r="AH4" s="321"/>
    </row>
    <row r="5" spans="2:34">
      <c r="B5" s="292"/>
      <c r="C5" s="293" t="s">
        <v>630</v>
      </c>
      <c r="D5" s="294">
        <f>现金流量!J6</f>
        <v>0.8</v>
      </c>
      <c r="E5" s="317">
        <f>现金流量!K6</f>
        <v>0.9</v>
      </c>
      <c r="F5" s="317">
        <f>现金流量!L6</f>
        <v>1</v>
      </c>
      <c r="G5" s="317">
        <f>现金流量!M6</f>
        <v>1</v>
      </c>
      <c r="H5" s="317">
        <f>现金流量!N6</f>
        <v>1</v>
      </c>
      <c r="I5" s="317">
        <f>现金流量!O6</f>
        <v>1</v>
      </c>
      <c r="J5" s="317">
        <f>现金流量!P6</f>
        <v>1</v>
      </c>
      <c r="K5" s="317">
        <f>现金流量!Q6</f>
        <v>1</v>
      </c>
      <c r="L5" s="317">
        <f>现金流量!R6</f>
        <v>1</v>
      </c>
      <c r="M5" s="317">
        <f>现金流量!S6</f>
        <v>1</v>
      </c>
      <c r="N5" s="317">
        <f>现金流量!T6</f>
        <v>1</v>
      </c>
      <c r="O5" s="317">
        <f>现金流量!U6</f>
        <v>1</v>
      </c>
      <c r="P5" s="317">
        <f>现金流量!V6</f>
        <v>1</v>
      </c>
      <c r="Q5" s="317">
        <f>现金流量!W6</f>
        <v>1</v>
      </c>
      <c r="R5" s="317">
        <f>现金流量!X6</f>
        <v>1</v>
      </c>
      <c r="S5" s="317">
        <f>现金流量!Y6</f>
        <v>1</v>
      </c>
      <c r="T5" s="317">
        <f>现金流量!Z6</f>
        <v>1</v>
      </c>
      <c r="U5" s="317">
        <f>现金流量!AA6</f>
        <v>1</v>
      </c>
      <c r="V5" s="317">
        <f>现金流量!AB6</f>
        <v>1</v>
      </c>
      <c r="W5" s="317">
        <f>现金流量!AC6</f>
        <v>1</v>
      </c>
      <c r="X5" s="317">
        <f>现金流量!AD6</f>
        <v>1</v>
      </c>
      <c r="Y5" s="317">
        <f>现金流量!AE6</f>
        <v>1</v>
      </c>
      <c r="Z5" s="317">
        <f>现金流量!AF6</f>
        <v>1</v>
      </c>
      <c r="AA5" s="317">
        <f>现金流量!AG6</f>
        <v>1</v>
      </c>
      <c r="AB5" s="317">
        <f>现金流量!AH6</f>
        <v>1</v>
      </c>
      <c r="AC5" s="317">
        <f>现金流量!AI6</f>
        <v>0</v>
      </c>
      <c r="AD5" s="317">
        <f>现金流量!AJ6</f>
        <v>0</v>
      </c>
      <c r="AE5" s="317">
        <f>现金流量!AK6</f>
        <v>0</v>
      </c>
      <c r="AF5" s="317">
        <f>现金流量!AL6</f>
        <v>0</v>
      </c>
      <c r="AG5" s="317">
        <f>现金流量!AM6</f>
        <v>0</v>
      </c>
      <c r="AH5" s="322"/>
    </row>
    <row r="6" spans="2:34">
      <c r="B6" s="295">
        <v>1</v>
      </c>
      <c r="C6" s="296" t="s">
        <v>595</v>
      </c>
      <c r="D6" s="297">
        <f>成本!$D43*D$5</f>
        <v>448.968566448</v>
      </c>
      <c r="E6" s="297">
        <f>成本!$D43*E$5</f>
        <v>505.089637254</v>
      </c>
      <c r="F6" s="297">
        <f>成本!$D43*F$5</f>
        <v>561.21070806</v>
      </c>
      <c r="G6" s="297">
        <f>成本!$D43*G$5</f>
        <v>561.21070806</v>
      </c>
      <c r="H6" s="297">
        <f>成本!$D43*H$5</f>
        <v>561.21070806</v>
      </c>
      <c r="I6" s="297">
        <f>成本!$D43*I$5</f>
        <v>561.21070806</v>
      </c>
      <c r="J6" s="297">
        <f>成本!$D43*J$5</f>
        <v>561.21070806</v>
      </c>
      <c r="K6" s="297">
        <f>成本!$D43*K$5</f>
        <v>561.21070806</v>
      </c>
      <c r="L6" s="297">
        <f>成本!$D43*L$5</f>
        <v>561.21070806</v>
      </c>
      <c r="M6" s="297">
        <f>成本!$D43*M$5</f>
        <v>561.21070806</v>
      </c>
      <c r="N6" s="297">
        <f>成本!$D43*N$5</f>
        <v>561.21070806</v>
      </c>
      <c r="O6" s="297">
        <f>成本!$D43*O$5</f>
        <v>561.21070806</v>
      </c>
      <c r="P6" s="297">
        <f>成本!$D43*P$5</f>
        <v>561.21070806</v>
      </c>
      <c r="Q6" s="297">
        <f>成本!$D43*Q$5</f>
        <v>561.21070806</v>
      </c>
      <c r="R6" s="297">
        <f>成本!$D43*R$5</f>
        <v>561.21070806</v>
      </c>
      <c r="S6" s="297">
        <f>成本!$D43*S$5</f>
        <v>561.21070806</v>
      </c>
      <c r="T6" s="297">
        <f>成本!$D43*T$5</f>
        <v>561.21070806</v>
      </c>
      <c r="U6" s="297">
        <f>成本!$D43*U$5</f>
        <v>561.21070806</v>
      </c>
      <c r="V6" s="297">
        <f>成本!$D43*V$5</f>
        <v>561.21070806</v>
      </c>
      <c r="W6" s="297">
        <f>成本!$D43*W$5</f>
        <v>561.21070806</v>
      </c>
      <c r="X6" s="297">
        <f>成本!$D43*X$5</f>
        <v>561.21070806</v>
      </c>
      <c r="Y6" s="297">
        <f>成本!$D43*Y$5</f>
        <v>561.21070806</v>
      </c>
      <c r="Z6" s="297">
        <f>成本!$D43*Z$5</f>
        <v>561.21070806</v>
      </c>
      <c r="AA6" s="297">
        <f>成本!$D43*AA$5</f>
        <v>561.21070806</v>
      </c>
      <c r="AB6" s="297">
        <f>成本!$D43*AB$5</f>
        <v>561.21070806</v>
      </c>
      <c r="AC6" s="297">
        <f>成本!$D43*AC$5</f>
        <v>0</v>
      </c>
      <c r="AD6" s="297">
        <f>成本!$D43*AD$5</f>
        <v>0</v>
      </c>
      <c r="AE6" s="297">
        <f>成本!$D43*AE$5</f>
        <v>0</v>
      </c>
      <c r="AF6" s="297">
        <f>成本!$D43*AF$5</f>
        <v>0</v>
      </c>
      <c r="AG6" s="297">
        <f>成本!$D43*AG$5</f>
        <v>0</v>
      </c>
      <c r="AH6" s="198">
        <f t="shared" ref="AH6:AH15" si="1">SUM(D6:AG6)</f>
        <v>13861.904489082</v>
      </c>
    </row>
    <row r="7" hidden="true" customHeight="true" spans="2:34">
      <c r="B7" s="295"/>
      <c r="C7" s="296"/>
      <c r="D7" s="298"/>
      <c r="E7" s="297"/>
      <c r="F7" s="297"/>
      <c r="G7" s="297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198">
        <f t="shared" si="1"/>
        <v>0</v>
      </c>
    </row>
    <row r="8" customHeight="true" spans="2:34">
      <c r="B8" s="295">
        <f>B6+1</f>
        <v>2</v>
      </c>
      <c r="C8" s="296" t="s">
        <v>596</v>
      </c>
      <c r="D8" s="299">
        <f>成本!$D$44*D5</f>
        <v>0</v>
      </c>
      <c r="E8" s="299">
        <f>成本!$D$44*E5</f>
        <v>0</v>
      </c>
      <c r="F8" s="299">
        <f>成本!$D$44*F5</f>
        <v>0</v>
      </c>
      <c r="G8" s="299">
        <f>成本!$D$44*G5</f>
        <v>0</v>
      </c>
      <c r="H8" s="299">
        <f>成本!$D$44*H5</f>
        <v>0</v>
      </c>
      <c r="I8" s="299">
        <f>成本!$D$44*I5</f>
        <v>0</v>
      </c>
      <c r="J8" s="299">
        <f>成本!$D$44*J5</f>
        <v>0</v>
      </c>
      <c r="K8" s="299">
        <f>成本!$D$44*K5</f>
        <v>0</v>
      </c>
      <c r="L8" s="299">
        <f>成本!$D$44*L5</f>
        <v>0</v>
      </c>
      <c r="M8" s="299">
        <f>成本!$D$44*M5</f>
        <v>0</v>
      </c>
      <c r="N8" s="299">
        <f>成本!$D$44*N5</f>
        <v>0</v>
      </c>
      <c r="O8" s="299">
        <f>成本!$D$44*O5</f>
        <v>0</v>
      </c>
      <c r="P8" s="299">
        <f>成本!$D$44*P5</f>
        <v>0</v>
      </c>
      <c r="Q8" s="299">
        <f>成本!$D$44*Q5</f>
        <v>0</v>
      </c>
      <c r="R8" s="299">
        <f>成本!$D$44*R5</f>
        <v>0</v>
      </c>
      <c r="S8" s="299">
        <f>成本!$D$44*S5</f>
        <v>0</v>
      </c>
      <c r="T8" s="299">
        <f>成本!$D$44*T5</f>
        <v>0</v>
      </c>
      <c r="U8" s="299">
        <f>成本!$D$44*U5</f>
        <v>0</v>
      </c>
      <c r="V8" s="299">
        <f>成本!$D$44*V5</f>
        <v>0</v>
      </c>
      <c r="W8" s="299">
        <f>成本!$D$44*W5</f>
        <v>0</v>
      </c>
      <c r="X8" s="299">
        <f>成本!$D$44*X5</f>
        <v>0</v>
      </c>
      <c r="Y8" s="299">
        <f>成本!$D$44*Y5</f>
        <v>0</v>
      </c>
      <c r="Z8" s="299">
        <f>成本!$D$44*Z5</f>
        <v>0</v>
      </c>
      <c r="AA8" s="299">
        <f>成本!$D$44*AA5</f>
        <v>0</v>
      </c>
      <c r="AB8" s="299">
        <f>成本!$D$44*AB5</f>
        <v>0</v>
      </c>
      <c r="AC8" s="299">
        <f>成本!$D$44*AC5</f>
        <v>0</v>
      </c>
      <c r="AD8" s="299">
        <f>成本!$D$44*AD5</f>
        <v>0</v>
      </c>
      <c r="AE8" s="299">
        <f>成本!$D$44*AE5</f>
        <v>0</v>
      </c>
      <c r="AF8" s="299">
        <f>成本!$D$44*AF5</f>
        <v>0</v>
      </c>
      <c r="AG8" s="299">
        <f>成本!$D$44*AG5</f>
        <v>0</v>
      </c>
      <c r="AH8" s="198"/>
    </row>
    <row r="9" spans="2:34">
      <c r="B9" s="295">
        <f t="shared" ref="B9:B20" si="2">B8+1</f>
        <v>3</v>
      </c>
      <c r="C9" s="296" t="s">
        <v>597</v>
      </c>
      <c r="D9" s="297">
        <f>成本!$D$45*D5</f>
        <v>1.507968</v>
      </c>
      <c r="E9" s="297">
        <f>成本!$D$45*E5</f>
        <v>1.696464</v>
      </c>
      <c r="F9" s="297">
        <f>成本!$D$45*F5</f>
        <v>1.88496</v>
      </c>
      <c r="G9" s="297">
        <f>成本!$D$45*G5</f>
        <v>1.88496</v>
      </c>
      <c r="H9" s="297">
        <f>成本!$D$45*H5</f>
        <v>1.88496</v>
      </c>
      <c r="I9" s="297">
        <f>成本!$D$45*I5</f>
        <v>1.88496</v>
      </c>
      <c r="J9" s="297">
        <f>成本!$D$45*J5</f>
        <v>1.88496</v>
      </c>
      <c r="K9" s="297">
        <f>成本!$D$45*K5</f>
        <v>1.88496</v>
      </c>
      <c r="L9" s="297">
        <f>成本!$D$45*L5</f>
        <v>1.88496</v>
      </c>
      <c r="M9" s="297">
        <f>成本!$D$45*M5</f>
        <v>1.88496</v>
      </c>
      <c r="N9" s="297">
        <f>成本!$D$45*N5</f>
        <v>1.88496</v>
      </c>
      <c r="O9" s="297">
        <f>成本!$D$45*O5</f>
        <v>1.88496</v>
      </c>
      <c r="P9" s="297">
        <f>成本!$D$45*P5</f>
        <v>1.88496</v>
      </c>
      <c r="Q9" s="297">
        <f>成本!$D$45*Q5</f>
        <v>1.88496</v>
      </c>
      <c r="R9" s="297">
        <f>成本!$D$45*R5</f>
        <v>1.88496</v>
      </c>
      <c r="S9" s="297">
        <f>成本!$D$45*S5</f>
        <v>1.88496</v>
      </c>
      <c r="T9" s="297">
        <f>成本!$D$45*T5</f>
        <v>1.88496</v>
      </c>
      <c r="U9" s="297">
        <f>成本!$D$45*U5</f>
        <v>1.88496</v>
      </c>
      <c r="V9" s="297">
        <f>成本!$D$45*V5</f>
        <v>1.88496</v>
      </c>
      <c r="W9" s="297">
        <f>成本!$D$45*W5</f>
        <v>1.88496</v>
      </c>
      <c r="X9" s="297">
        <f>成本!$D$45*X5</f>
        <v>1.88496</v>
      </c>
      <c r="Y9" s="297">
        <f>成本!$D$45*Y5</f>
        <v>1.88496</v>
      </c>
      <c r="Z9" s="297">
        <f>成本!$D$45*Z5</f>
        <v>1.88496</v>
      </c>
      <c r="AA9" s="297">
        <f>成本!$D$45*AA5</f>
        <v>1.88496</v>
      </c>
      <c r="AB9" s="297">
        <f>成本!$D$45*AB5</f>
        <v>1.88496</v>
      </c>
      <c r="AC9" s="297">
        <f>成本!$D$45*AC5</f>
        <v>0</v>
      </c>
      <c r="AD9" s="297">
        <f>成本!$D$45*AD5</f>
        <v>0</v>
      </c>
      <c r="AE9" s="297">
        <f>成本!$D$45*AE5</f>
        <v>0</v>
      </c>
      <c r="AF9" s="297">
        <f>成本!$D$45*AF5</f>
        <v>0</v>
      </c>
      <c r="AG9" s="297">
        <f>成本!$D$45*AG5</f>
        <v>0</v>
      </c>
      <c r="AH9" s="198">
        <f t="shared" si="1"/>
        <v>46.558512</v>
      </c>
    </row>
    <row r="10" spans="2:34">
      <c r="B10" s="295">
        <f t="shared" si="2"/>
        <v>4</v>
      </c>
      <c r="C10" s="296" t="s">
        <v>598</v>
      </c>
      <c r="D10" s="297">
        <f>IF(D4&gt;zq,0,成本!$D$46)</f>
        <v>192</v>
      </c>
      <c r="E10" s="297">
        <f>IF(E4&gt;zq,0,成本!$D$46)</f>
        <v>192</v>
      </c>
      <c r="F10" s="297">
        <f>IF(F4&gt;zq,0,成本!$D$46)</f>
        <v>192</v>
      </c>
      <c r="G10" s="297">
        <f>IF(G4&gt;zq,0,成本!$D$46)</f>
        <v>192</v>
      </c>
      <c r="H10" s="297">
        <f>IF(H4&gt;zq,0,成本!$D$46)</f>
        <v>192</v>
      </c>
      <c r="I10" s="297">
        <f>IF(I4&gt;zq,0,成本!$D$46)</f>
        <v>192</v>
      </c>
      <c r="J10" s="297">
        <f>IF(J4&gt;zq,0,成本!$D$46)</f>
        <v>192</v>
      </c>
      <c r="K10" s="297">
        <f>IF(K4&gt;zq,0,成本!$D$46)</f>
        <v>192</v>
      </c>
      <c r="L10" s="297">
        <f>IF(L4&gt;zq,0,成本!$D$46)</f>
        <v>192</v>
      </c>
      <c r="M10" s="297">
        <f>IF(M4&gt;zq,0,成本!$D$46)</f>
        <v>192</v>
      </c>
      <c r="N10" s="297">
        <f>IF(N4&gt;zq,0,成本!$D$46)</f>
        <v>192</v>
      </c>
      <c r="O10" s="297">
        <f>IF(O4&gt;zq,0,成本!$D$46)</f>
        <v>192</v>
      </c>
      <c r="P10" s="297">
        <f>IF(P4&gt;zq,0,成本!$D$46)</f>
        <v>192</v>
      </c>
      <c r="Q10" s="297">
        <f>IF(Q4&gt;zq,0,成本!$D$46)</f>
        <v>192</v>
      </c>
      <c r="R10" s="297">
        <f>IF(R4&gt;zq,0,成本!$D$46)</f>
        <v>192</v>
      </c>
      <c r="S10" s="297">
        <f>IF(S4&gt;zq,0,成本!$D$46)</f>
        <v>192</v>
      </c>
      <c r="T10" s="297">
        <f>IF(T4&gt;zq,0,成本!$D$46)</f>
        <v>192</v>
      </c>
      <c r="U10" s="297">
        <f>IF(U4&gt;zq,0,成本!$D$46)</f>
        <v>192</v>
      </c>
      <c r="V10" s="297">
        <f>IF(V4&gt;zq,0,成本!$D$46)</f>
        <v>192</v>
      </c>
      <c r="W10" s="297">
        <f>IF(W4&gt;zq,0,成本!$D$46)</f>
        <v>192</v>
      </c>
      <c r="X10" s="297">
        <f>IF(X4&gt;zq,0,成本!$D$46)</f>
        <v>192</v>
      </c>
      <c r="Y10" s="297">
        <f>IF(Y4&gt;zq,0,成本!$D$46)</f>
        <v>192</v>
      </c>
      <c r="Z10" s="297">
        <f>IF(Z4&gt;zq,0,成本!$D$46)</f>
        <v>192</v>
      </c>
      <c r="AA10" s="297">
        <f>IF(AA4&gt;zq,0,成本!$D$46)</f>
        <v>192</v>
      </c>
      <c r="AB10" s="297">
        <f>IF(AB4&gt;zq,0,成本!$D$46)</f>
        <v>192</v>
      </c>
      <c r="AC10" s="297"/>
      <c r="AD10" s="297"/>
      <c r="AE10" s="297"/>
      <c r="AF10" s="297"/>
      <c r="AG10" s="297"/>
      <c r="AH10" s="198">
        <f t="shared" si="1"/>
        <v>4800</v>
      </c>
    </row>
    <row r="11" spans="2:34">
      <c r="B11" s="295">
        <f t="shared" si="2"/>
        <v>5</v>
      </c>
      <c r="C11" s="296" t="s">
        <v>631</v>
      </c>
      <c r="D11" s="297" t="e">
        <f>借款偿还!K13</f>
        <v>#REF!</v>
      </c>
      <c r="E11" s="297" t="e">
        <f>借款偿还!L13</f>
        <v>#REF!</v>
      </c>
      <c r="F11" s="297" t="e">
        <f>借款偿还!M13</f>
        <v>#REF!</v>
      </c>
      <c r="G11" s="297" t="e">
        <f>借款偿还!N13</f>
        <v>#REF!</v>
      </c>
      <c r="H11" s="297" t="e">
        <f>借款偿还!O13</f>
        <v>#REF!</v>
      </c>
      <c r="I11" s="297" t="e">
        <f>借款偿还!P13</f>
        <v>#REF!</v>
      </c>
      <c r="J11" s="297" t="e">
        <f>借款偿还!Q13</f>
        <v>#REF!</v>
      </c>
      <c r="K11" s="297" t="e">
        <f>借款偿还!R13</f>
        <v>#REF!</v>
      </c>
      <c r="L11" s="297" t="e">
        <f>借款偿还!S13</f>
        <v>#REF!</v>
      </c>
      <c r="M11" s="297" t="e">
        <f>借款偿还!T13</f>
        <v>#REF!</v>
      </c>
      <c r="N11" s="297" t="e">
        <f>借款偿还!U13</f>
        <v>#REF!</v>
      </c>
      <c r="O11" s="297" t="e">
        <f>借款偿还!V13</f>
        <v>#REF!</v>
      </c>
      <c r="P11" s="297" t="e">
        <f>借款偿还!W13</f>
        <v>#REF!</v>
      </c>
      <c r="Q11" s="297" t="e">
        <f>借款偿还!X13</f>
        <v>#REF!</v>
      </c>
      <c r="R11" s="297" t="e">
        <f>借款偿还!Y13</f>
        <v>#REF!</v>
      </c>
      <c r="S11" s="297" t="e">
        <f>借款偿还!Z13</f>
        <v>#REF!</v>
      </c>
      <c r="T11" s="297" t="e">
        <f>借款偿还!AA13</f>
        <v>#REF!</v>
      </c>
      <c r="U11" s="297" t="e">
        <f>借款偿还!AB13</f>
        <v>#REF!</v>
      </c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198"/>
    </row>
    <row r="12" spans="2:34">
      <c r="B12" s="295">
        <f t="shared" si="2"/>
        <v>6</v>
      </c>
      <c r="C12" s="296" t="s">
        <v>600</v>
      </c>
      <c r="D12" s="297" t="e">
        <f>固定资产!D6</f>
        <v>#REF!</v>
      </c>
      <c r="E12" s="297" t="e">
        <f>固定资产!E6</f>
        <v>#REF!</v>
      </c>
      <c r="F12" s="297" t="e">
        <f>固定资产!F6</f>
        <v>#REF!</v>
      </c>
      <c r="G12" s="297" t="e">
        <f>固定资产!G6</f>
        <v>#REF!</v>
      </c>
      <c r="H12" s="297" t="e">
        <f>固定资产!H6</f>
        <v>#REF!</v>
      </c>
      <c r="I12" s="297" t="e">
        <f>固定资产!I6</f>
        <v>#REF!</v>
      </c>
      <c r="J12" s="297" t="e">
        <f>固定资产!J6</f>
        <v>#REF!</v>
      </c>
      <c r="K12" s="297" t="e">
        <f>固定资产!K6</f>
        <v>#REF!</v>
      </c>
      <c r="L12" s="297" t="e">
        <f>固定资产!L6</f>
        <v>#REF!</v>
      </c>
      <c r="M12" s="297" t="e">
        <f>固定资产!M6</f>
        <v>#REF!</v>
      </c>
      <c r="N12" s="297" t="e">
        <f>固定资产!N6</f>
        <v>#REF!</v>
      </c>
      <c r="O12" s="297" t="e">
        <f>固定资产!O6</f>
        <v>#REF!</v>
      </c>
      <c r="P12" s="297" t="e">
        <f>固定资产!P6</f>
        <v>#REF!</v>
      </c>
      <c r="Q12" s="297" t="e">
        <f>固定资产!Q6</f>
        <v>#REF!</v>
      </c>
      <c r="R12" s="297" t="e">
        <f>固定资产!R6</f>
        <v>#REF!</v>
      </c>
      <c r="S12" s="297" t="e">
        <f>固定资产!S6</f>
        <v>#REF!</v>
      </c>
      <c r="T12" s="297" t="e">
        <f>固定资产!T6</f>
        <v>#REF!</v>
      </c>
      <c r="U12" s="297" t="e">
        <f>固定资产!U6</f>
        <v>#REF!</v>
      </c>
      <c r="V12" s="297" t="e">
        <f>固定资产!V6</f>
        <v>#REF!</v>
      </c>
      <c r="W12" s="297" t="e">
        <f>固定资产!W6</f>
        <v>#REF!</v>
      </c>
      <c r="X12" s="297" t="e">
        <f>固定资产!X6</f>
        <v>#REF!</v>
      </c>
      <c r="Y12" s="297" t="e">
        <f>固定资产!Y6</f>
        <v>#REF!</v>
      </c>
      <c r="Z12" s="297" t="e">
        <f>固定资产!Z6</f>
        <v>#REF!</v>
      </c>
      <c r="AA12" s="297" t="e">
        <f>固定资产!AA6</f>
        <v>#REF!</v>
      </c>
      <c r="AB12" s="297" t="e">
        <f>固定资产!AB6</f>
        <v>#REF!</v>
      </c>
      <c r="AC12" s="297"/>
      <c r="AD12" s="297"/>
      <c r="AE12" s="297"/>
      <c r="AF12" s="297"/>
      <c r="AG12" s="297"/>
      <c r="AH12" s="198" t="e">
        <f t="shared" si="1"/>
        <v>#REF!</v>
      </c>
    </row>
    <row r="13" spans="2:34">
      <c r="B13" s="295">
        <f t="shared" si="2"/>
        <v>7</v>
      </c>
      <c r="C13" s="296" t="s">
        <v>601</v>
      </c>
      <c r="D13" s="297" t="e">
        <f>IF(D4&gt;zq,0,成本!$D$49)</f>
        <v>#REF!</v>
      </c>
      <c r="E13" s="297" t="e">
        <f>IF(E4&gt;zq,0,成本!$D$49)</f>
        <v>#REF!</v>
      </c>
      <c r="F13" s="297" t="e">
        <f>IF(F4&gt;zq,0,成本!$D$49)</f>
        <v>#REF!</v>
      </c>
      <c r="G13" s="297" t="e">
        <f>IF(G4&gt;zq,0,成本!$D$49)</f>
        <v>#REF!</v>
      </c>
      <c r="H13" s="297" t="e">
        <f>IF(H4&gt;zq,0,成本!$D$49)</f>
        <v>#REF!</v>
      </c>
      <c r="I13" s="297" t="e">
        <f>IF(I4&gt;zq,0,成本!$D$49)</f>
        <v>#REF!</v>
      </c>
      <c r="J13" s="297" t="e">
        <f>IF(J4&gt;zq,0,成本!$D$49)</f>
        <v>#REF!</v>
      </c>
      <c r="K13" s="297" t="e">
        <f>IF(K4&gt;zq,0,成本!$D$49)</f>
        <v>#REF!</v>
      </c>
      <c r="L13" s="297" t="e">
        <f>IF(L4&gt;zq,0,成本!$D$49)</f>
        <v>#REF!</v>
      </c>
      <c r="M13" s="297" t="e">
        <f>IF(M4&gt;zq,0,成本!$D$49)</f>
        <v>#REF!</v>
      </c>
      <c r="N13" s="297" t="e">
        <f>IF(N4&gt;zq,0,成本!$D$49)</f>
        <v>#REF!</v>
      </c>
      <c r="O13" s="297" t="e">
        <f>IF(O4&gt;zq,0,成本!$D$49)</f>
        <v>#REF!</v>
      </c>
      <c r="P13" s="297" t="e">
        <f>IF(P4&gt;zq,0,成本!$D$49)</f>
        <v>#REF!</v>
      </c>
      <c r="Q13" s="297" t="e">
        <f>IF(Q4&gt;zq,0,成本!$D$49)</f>
        <v>#REF!</v>
      </c>
      <c r="R13" s="297" t="e">
        <f>IF(R4&gt;zq,0,成本!$D$49)</f>
        <v>#REF!</v>
      </c>
      <c r="S13" s="297" t="e">
        <f>IF(S4&gt;zq,0,成本!$D$49)</f>
        <v>#REF!</v>
      </c>
      <c r="T13" s="297" t="e">
        <f>IF(T4&gt;zq,0,成本!$D$49)</f>
        <v>#REF!</v>
      </c>
      <c r="U13" s="297" t="e">
        <f>IF(U4&gt;zq,0,成本!$D$49)</f>
        <v>#REF!</v>
      </c>
      <c r="V13" s="297" t="e">
        <f>IF(V4&gt;zq,0,成本!$D$49)</f>
        <v>#REF!</v>
      </c>
      <c r="W13" s="297" t="e">
        <f>IF(W4&gt;zq,0,成本!$D$49)</f>
        <v>#REF!</v>
      </c>
      <c r="X13" s="297" t="e">
        <f>IF(X4&gt;zq,0,成本!$D49)</f>
        <v>#REF!</v>
      </c>
      <c r="Y13" s="297" t="e">
        <f>IF(Y4&gt;zq,0,成本!$D$49)</f>
        <v>#REF!</v>
      </c>
      <c r="Z13" s="297" t="e">
        <f>IF(Z4&gt;zq,0,成本!$D$49)</f>
        <v>#REF!</v>
      </c>
      <c r="AA13" s="297" t="e">
        <f>IF(AA4&gt;zq,0,成本!$D$49)</f>
        <v>#REF!</v>
      </c>
      <c r="AB13" s="297" t="e">
        <f>IF(AB4&gt;zq,0,成本!$D$49)</f>
        <v>#REF!</v>
      </c>
      <c r="AC13" s="297"/>
      <c r="AD13" s="297"/>
      <c r="AE13" s="297"/>
      <c r="AF13" s="297"/>
      <c r="AG13" s="297"/>
      <c r="AH13" s="198" t="e">
        <f t="shared" si="1"/>
        <v>#REF!</v>
      </c>
    </row>
    <row r="14" spans="2:34">
      <c r="B14" s="295">
        <f t="shared" si="2"/>
        <v>8</v>
      </c>
      <c r="C14" s="296" t="s">
        <v>504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198">
        <f t="shared" si="1"/>
        <v>0</v>
      </c>
    </row>
    <row r="15" spans="2:34">
      <c r="B15" s="295">
        <f t="shared" si="2"/>
        <v>9</v>
      </c>
      <c r="C15" s="295" t="s">
        <v>632</v>
      </c>
      <c r="D15" s="300" t="e">
        <f>其他资产!D6</f>
        <v>#REF!</v>
      </c>
      <c r="E15" s="300" t="e">
        <f>其他资产!E6</f>
        <v>#REF!</v>
      </c>
      <c r="F15" s="300" t="e">
        <f>其他资产!F6</f>
        <v>#REF!</v>
      </c>
      <c r="G15" s="300" t="e">
        <f>其他资产!G6</f>
        <v>#REF!</v>
      </c>
      <c r="H15" s="300" t="e">
        <f>其他资产!H6</f>
        <v>#REF!</v>
      </c>
      <c r="I15" s="300" t="e">
        <f>其他资产!I6</f>
        <v>#REF!</v>
      </c>
      <c r="J15" s="300" t="e">
        <f>其他资产!J6</f>
        <v>#REF!</v>
      </c>
      <c r="K15" s="300" t="e">
        <f>其他资产!K6</f>
        <v>#REF!</v>
      </c>
      <c r="L15" s="300" t="e">
        <f>其他资产!L6</f>
        <v>#REF!</v>
      </c>
      <c r="M15" s="300" t="e">
        <f>其他资产!M6</f>
        <v>#REF!</v>
      </c>
      <c r="N15" s="300" t="e">
        <f>其他资产!N6</f>
        <v>#REF!</v>
      </c>
      <c r="O15" s="300" t="e">
        <f>其他资产!O6</f>
        <v>#REF!</v>
      </c>
      <c r="P15" s="300" t="e">
        <f>其他资产!P6</f>
        <v>#REF!</v>
      </c>
      <c r="Q15" s="300" t="e">
        <f>其他资产!Q6</f>
        <v>#REF!</v>
      </c>
      <c r="R15" s="300">
        <f>其他资产!R6</f>
        <v>0</v>
      </c>
      <c r="S15" s="300">
        <f>其他资产!S6</f>
        <v>0</v>
      </c>
      <c r="T15" s="300">
        <f>其他资产!T6</f>
        <v>0</v>
      </c>
      <c r="U15" s="300">
        <f>其他资产!U6</f>
        <v>0</v>
      </c>
      <c r="V15" s="300">
        <f>其他资产!V6</f>
        <v>0</v>
      </c>
      <c r="W15" s="300">
        <f>其他资产!W6</f>
        <v>0</v>
      </c>
      <c r="X15" s="300">
        <f>其他资产!X6</f>
        <v>0</v>
      </c>
      <c r="Y15" s="300">
        <f>其他资产!Y6</f>
        <v>0</v>
      </c>
      <c r="Z15" s="300">
        <f>其他资产!Z6</f>
        <v>0</v>
      </c>
      <c r="AA15" s="300">
        <f>其他资产!AA6</f>
        <v>0</v>
      </c>
      <c r="AB15" s="300">
        <f>其他资产!AB6</f>
        <v>0</v>
      </c>
      <c r="AC15" s="300"/>
      <c r="AD15" s="300"/>
      <c r="AE15" s="300"/>
      <c r="AF15" s="300"/>
      <c r="AG15" s="300"/>
      <c r="AH15" s="198" t="e">
        <f t="shared" si="1"/>
        <v>#REF!</v>
      </c>
    </row>
    <row r="16" spans="2:34">
      <c r="B16" s="295">
        <f t="shared" si="2"/>
        <v>10</v>
      </c>
      <c r="C16" s="295" t="s">
        <v>603</v>
      </c>
      <c r="D16" s="297">
        <f>成本!$D$52*D5</f>
        <v>0</v>
      </c>
      <c r="E16" s="297">
        <f>成本!$D$52*E5</f>
        <v>0</v>
      </c>
      <c r="F16" s="297">
        <f>成本!$D$52*F5</f>
        <v>0</v>
      </c>
      <c r="G16" s="297">
        <f>成本!$D$52*G5</f>
        <v>0</v>
      </c>
      <c r="H16" s="297">
        <f>成本!$D$52*H5</f>
        <v>0</v>
      </c>
      <c r="I16" s="297">
        <f>成本!$D$52*I5</f>
        <v>0</v>
      </c>
      <c r="J16" s="297">
        <f>成本!$D$52*J5</f>
        <v>0</v>
      </c>
      <c r="K16" s="297">
        <f>成本!$D$52*K5</f>
        <v>0</v>
      </c>
      <c r="L16" s="297">
        <f>成本!$D$52*L5</f>
        <v>0</v>
      </c>
      <c r="M16" s="297">
        <f>成本!$D$52*M5</f>
        <v>0</v>
      </c>
      <c r="N16" s="297">
        <f>成本!$D$52*N5</f>
        <v>0</v>
      </c>
      <c r="O16" s="297">
        <f>成本!$D$52*O5</f>
        <v>0</v>
      </c>
      <c r="P16" s="297">
        <f>成本!$D$52*P5</f>
        <v>0</v>
      </c>
      <c r="Q16" s="297">
        <f>成本!$D$52*Q5</f>
        <v>0</v>
      </c>
      <c r="R16" s="297">
        <f>成本!$D$52*R5</f>
        <v>0</v>
      </c>
      <c r="S16" s="297">
        <f>成本!$D$52*S5</f>
        <v>0</v>
      </c>
      <c r="T16" s="297">
        <f>成本!$D$52*T5</f>
        <v>0</v>
      </c>
      <c r="U16" s="297">
        <f>成本!$D$52*U5</f>
        <v>0</v>
      </c>
      <c r="V16" s="297">
        <f>成本!$D$52*V5</f>
        <v>0</v>
      </c>
      <c r="W16" s="297">
        <f>成本!$D$52*W5</f>
        <v>0</v>
      </c>
      <c r="X16" s="297">
        <f>成本!$D$52*X5</f>
        <v>0</v>
      </c>
      <c r="Y16" s="297">
        <f>成本!$D$52*Y5</f>
        <v>0</v>
      </c>
      <c r="Z16" s="297">
        <f>成本!$D$52*Z5</f>
        <v>0</v>
      </c>
      <c r="AA16" s="297">
        <f>成本!$D$52*AA5</f>
        <v>0</v>
      </c>
      <c r="AB16" s="297">
        <f>成本!$D$52*AB5</f>
        <v>0</v>
      </c>
      <c r="AC16" s="297"/>
      <c r="AD16" s="297"/>
      <c r="AE16" s="297"/>
      <c r="AF16" s="297"/>
      <c r="AG16" s="297"/>
      <c r="AH16" s="198"/>
    </row>
    <row r="17" ht="15.95" customHeight="true" spans="1:35">
      <c r="A17" s="301"/>
      <c r="B17" s="295">
        <f t="shared" si="2"/>
        <v>11</v>
      </c>
      <c r="C17" s="296" t="s">
        <v>633</v>
      </c>
      <c r="D17" s="297" t="e">
        <f t="shared" ref="D17:O17" si="3">(SUM(D6:D16)-D11-D15)*$AI$17</f>
        <v>#REF!</v>
      </c>
      <c r="E17" s="297" t="e">
        <f t="shared" si="3"/>
        <v>#REF!</v>
      </c>
      <c r="F17" s="297" t="e">
        <f t="shared" si="3"/>
        <v>#REF!</v>
      </c>
      <c r="G17" s="297" t="e">
        <f t="shared" si="3"/>
        <v>#REF!</v>
      </c>
      <c r="H17" s="297" t="e">
        <f t="shared" si="3"/>
        <v>#REF!</v>
      </c>
      <c r="I17" s="297" t="e">
        <f t="shared" si="3"/>
        <v>#REF!</v>
      </c>
      <c r="J17" s="297" t="e">
        <f t="shared" si="3"/>
        <v>#REF!</v>
      </c>
      <c r="K17" s="297" t="e">
        <f t="shared" si="3"/>
        <v>#REF!</v>
      </c>
      <c r="L17" s="297" t="e">
        <f t="shared" si="3"/>
        <v>#REF!</v>
      </c>
      <c r="M17" s="297" t="e">
        <f t="shared" si="3"/>
        <v>#REF!</v>
      </c>
      <c r="N17" s="297" t="e">
        <f t="shared" si="3"/>
        <v>#REF!</v>
      </c>
      <c r="O17" s="297" t="e">
        <f t="shared" si="3"/>
        <v>#REF!</v>
      </c>
      <c r="P17" s="297" t="e">
        <f t="shared" ref="P17:AB17" si="4">IF(P4&gt;zq,0,O17)</f>
        <v>#REF!</v>
      </c>
      <c r="Q17" s="297" t="e">
        <f t="shared" si="4"/>
        <v>#REF!</v>
      </c>
      <c r="R17" s="297" t="e">
        <f t="shared" si="4"/>
        <v>#REF!</v>
      </c>
      <c r="S17" s="297" t="e">
        <f t="shared" si="4"/>
        <v>#REF!</v>
      </c>
      <c r="T17" s="297" t="e">
        <f t="shared" si="4"/>
        <v>#REF!</v>
      </c>
      <c r="U17" s="297" t="e">
        <f t="shared" si="4"/>
        <v>#REF!</v>
      </c>
      <c r="V17" s="297" t="e">
        <f t="shared" si="4"/>
        <v>#REF!</v>
      </c>
      <c r="W17" s="297" t="e">
        <f t="shared" si="4"/>
        <v>#REF!</v>
      </c>
      <c r="X17" s="297" t="e">
        <f t="shared" si="4"/>
        <v>#REF!</v>
      </c>
      <c r="Y17" s="297" t="e">
        <f t="shared" si="4"/>
        <v>#REF!</v>
      </c>
      <c r="Z17" s="297" t="e">
        <f t="shared" si="4"/>
        <v>#REF!</v>
      </c>
      <c r="AA17" s="297" t="e">
        <f t="shared" si="4"/>
        <v>#REF!</v>
      </c>
      <c r="AB17" s="297" t="e">
        <f t="shared" si="4"/>
        <v>#REF!</v>
      </c>
      <c r="AC17" s="297"/>
      <c r="AD17" s="297"/>
      <c r="AE17" s="297"/>
      <c r="AF17" s="297"/>
      <c r="AG17" s="297"/>
      <c r="AH17" s="198" t="e">
        <f t="shared" ref="AH17:AH22" si="5">SUM(D17:AG17)</f>
        <v>#REF!</v>
      </c>
      <c r="AI17" s="234">
        <v>0.05</v>
      </c>
    </row>
    <row r="18" ht="13.5" spans="1:34">
      <c r="A18" s="301"/>
      <c r="B18" s="295">
        <f t="shared" si="2"/>
        <v>12</v>
      </c>
      <c r="C18" s="296" t="s">
        <v>634</v>
      </c>
      <c r="D18" s="297">
        <f>资金来源运用!I12*成本!$D$41</f>
        <v>0</v>
      </c>
      <c r="E18" s="297">
        <f>资金来源运用!J12*成本!$D$41</f>
        <v>0</v>
      </c>
      <c r="F18" s="297">
        <f>资金来源运用!K12*成本!$D$41</f>
        <v>0</v>
      </c>
      <c r="G18" s="297">
        <f>资金来源运用!L12*成本!$D$41</f>
        <v>0</v>
      </c>
      <c r="H18" s="297">
        <f>资金来源运用!M12*成本!$D$41</f>
        <v>0</v>
      </c>
      <c r="I18" s="297">
        <f>资金来源运用!N12*成本!$D$41</f>
        <v>0</v>
      </c>
      <c r="J18" s="297">
        <f>资金来源运用!O12*成本!$D$41</f>
        <v>0</v>
      </c>
      <c r="K18" s="297">
        <f>资金来源运用!P12*成本!$D$41</f>
        <v>0</v>
      </c>
      <c r="L18" s="297">
        <f>资金来源运用!Q12*成本!$D$41</f>
        <v>0</v>
      </c>
      <c r="M18" s="297">
        <f>资金来源运用!R12*成本!$D$41</f>
        <v>0</v>
      </c>
      <c r="N18" s="297">
        <f>资金来源运用!S12*成本!$D$41</f>
        <v>0</v>
      </c>
      <c r="O18" s="297">
        <f>资金来源运用!T12*成本!$D$41</f>
        <v>0</v>
      </c>
      <c r="P18" s="297">
        <f>资金来源运用!U12*成本!$D$41</f>
        <v>0</v>
      </c>
      <c r="Q18" s="297">
        <f>资金来源运用!V12*成本!$D$41</f>
        <v>0</v>
      </c>
      <c r="R18" s="297">
        <f>资金来源运用!W12*成本!$D$41</f>
        <v>0</v>
      </c>
      <c r="S18" s="297">
        <f>资金来源运用!X12*成本!$D$41</f>
        <v>0</v>
      </c>
      <c r="T18" s="297">
        <f>资金来源运用!Y12*成本!$D$41</f>
        <v>0</v>
      </c>
      <c r="U18" s="297">
        <f>资金来源运用!Z12*成本!$D$41</f>
        <v>0</v>
      </c>
      <c r="V18" s="297">
        <f>资金来源运用!AA12*成本!$D$41</f>
        <v>0</v>
      </c>
      <c r="W18" s="297">
        <f>资金来源运用!AB12*成本!$D$41</f>
        <v>0</v>
      </c>
      <c r="X18" s="297">
        <f>资金来源运用!AC12*成本!$D$41</f>
        <v>0</v>
      </c>
      <c r="Y18" s="297">
        <f>资金来源运用!AD12*成本!$D$41</f>
        <v>0</v>
      </c>
      <c r="Z18" s="297">
        <f>资金来源运用!AE12*成本!$D$41</f>
        <v>0</v>
      </c>
      <c r="AA18" s="297">
        <f>资金来源运用!AK12*成本!$D$41</f>
        <v>0</v>
      </c>
      <c r="AB18" s="297">
        <f>资金来源运用!AL12*成本!$D$41</f>
        <v>0</v>
      </c>
      <c r="AC18" s="297"/>
      <c r="AD18" s="297"/>
      <c r="AE18" s="297"/>
      <c r="AF18" s="297"/>
      <c r="AG18" s="297"/>
      <c r="AH18" s="198">
        <f t="shared" si="5"/>
        <v>0</v>
      </c>
    </row>
    <row r="19" spans="2:34">
      <c r="B19" s="295">
        <f t="shared" si="2"/>
        <v>13</v>
      </c>
      <c r="C19" s="296" t="s">
        <v>605</v>
      </c>
      <c r="D19" s="302" t="e">
        <f>D27*'总表 (2)'!$E$63*成本!$D$41</f>
        <v>#REF!</v>
      </c>
      <c r="E19" s="302" t="e">
        <f>E27*'总表 (2)'!$E$63*成本!$D$41</f>
        <v>#REF!</v>
      </c>
      <c r="F19" s="302" t="e">
        <f>F27*'总表 (2)'!$E$63*成本!$D$41</f>
        <v>#REF!</v>
      </c>
      <c r="G19" s="302" t="e">
        <f>G27*'总表 (2)'!$E$63*成本!$D$41</f>
        <v>#REF!</v>
      </c>
      <c r="H19" s="302" t="e">
        <f>H27*'总表 (2)'!$E$63*成本!$D$41</f>
        <v>#REF!</v>
      </c>
      <c r="I19" s="302" t="e">
        <f>I27*'总表 (2)'!$E$63*成本!$D$41</f>
        <v>#REF!</v>
      </c>
      <c r="J19" s="302" t="e">
        <f>J27*'总表 (2)'!$E$63*成本!$D$41</f>
        <v>#REF!</v>
      </c>
      <c r="K19" s="302" t="e">
        <f>K27*'总表 (2)'!$E$63*成本!$D$41</f>
        <v>#REF!</v>
      </c>
      <c r="L19" s="302" t="e">
        <f>L27*'总表 (2)'!$E$63*成本!$D$41</f>
        <v>#REF!</v>
      </c>
      <c r="M19" s="302" t="e">
        <f>M27*'总表 (2)'!$E$63*成本!$D$41</f>
        <v>#REF!</v>
      </c>
      <c r="N19" s="302" t="e">
        <f>N27*'总表 (2)'!$E$63*成本!$D$41</f>
        <v>#REF!</v>
      </c>
      <c r="O19" s="302" t="e">
        <f>O27*'总表 (2)'!$E$63*成本!$D$41</f>
        <v>#REF!</v>
      </c>
      <c r="P19" s="302" t="e">
        <f>P27*'总表 (2)'!$E$63*成本!$D$41</f>
        <v>#REF!</v>
      </c>
      <c r="Q19" s="302" t="e">
        <f>Q27*'总表 (2)'!$E$63*成本!$D$41</f>
        <v>#REF!</v>
      </c>
      <c r="R19" s="302" t="e">
        <f>R27*'总表 (2)'!$E$63*成本!$D$41</f>
        <v>#REF!</v>
      </c>
      <c r="S19" s="302" t="e">
        <f>S27*'总表 (2)'!$E$63*成本!$D$41</f>
        <v>#REF!</v>
      </c>
      <c r="T19" s="302" t="e">
        <f>T27*'总表 (2)'!$E$63*成本!$D$41</f>
        <v>#REF!</v>
      </c>
      <c r="U19" s="302" t="e">
        <f>U27*'总表 (2)'!$E$63*成本!$D$41</f>
        <v>#REF!</v>
      </c>
      <c r="V19" s="302" t="e">
        <f>V27*'总表 (2)'!$E$63*成本!$D$41</f>
        <v>#REF!</v>
      </c>
      <c r="W19" s="302" t="e">
        <f>W27*'总表 (2)'!$E$63*成本!$D$41</f>
        <v>#REF!</v>
      </c>
      <c r="X19" s="302" t="e">
        <f>X27*'总表 (2)'!$E$63*成本!$D$41</f>
        <v>#REF!</v>
      </c>
      <c r="Y19" s="302" t="e">
        <f>Y27*'总表 (2)'!$E$63*成本!$D$41</f>
        <v>#REF!</v>
      </c>
      <c r="Z19" s="302" t="e">
        <f>Z27*'总表 (2)'!$E$63*成本!$D$41</f>
        <v>#REF!</v>
      </c>
      <c r="AA19" s="302" t="e">
        <f>AA27*'总表 (2)'!$E$63*成本!$D$41</f>
        <v>#REF!</v>
      </c>
      <c r="AB19" s="302" t="e">
        <f>AB27*'总表 (2)'!$E$63*成本!$D$41</f>
        <v>#REF!</v>
      </c>
      <c r="AC19" s="302"/>
      <c r="AD19" s="302"/>
      <c r="AE19" s="302"/>
      <c r="AF19" s="302"/>
      <c r="AG19" s="302"/>
      <c r="AH19" s="198" t="e">
        <f t="shared" si="5"/>
        <v>#REF!</v>
      </c>
    </row>
    <row r="20" spans="2:34">
      <c r="B20" s="295">
        <f t="shared" si="2"/>
        <v>14</v>
      </c>
      <c r="C20" s="296" t="s">
        <v>606</v>
      </c>
      <c r="D20" s="297" t="e">
        <f t="shared" ref="D20:AB20" si="6">SUM(D6:D19)</f>
        <v>#REF!</v>
      </c>
      <c r="E20" s="297" t="e">
        <f t="shared" si="6"/>
        <v>#REF!</v>
      </c>
      <c r="F20" s="297" t="e">
        <f t="shared" si="6"/>
        <v>#REF!</v>
      </c>
      <c r="G20" s="297" t="e">
        <f t="shared" si="6"/>
        <v>#REF!</v>
      </c>
      <c r="H20" s="297" t="e">
        <f t="shared" si="6"/>
        <v>#REF!</v>
      </c>
      <c r="I20" s="297" t="e">
        <f t="shared" si="6"/>
        <v>#REF!</v>
      </c>
      <c r="J20" s="297" t="e">
        <f t="shared" si="6"/>
        <v>#REF!</v>
      </c>
      <c r="K20" s="297" t="e">
        <f t="shared" si="6"/>
        <v>#REF!</v>
      </c>
      <c r="L20" s="297" t="e">
        <f t="shared" si="6"/>
        <v>#REF!</v>
      </c>
      <c r="M20" s="297" t="e">
        <f t="shared" si="6"/>
        <v>#REF!</v>
      </c>
      <c r="N20" s="297" t="e">
        <f t="shared" si="6"/>
        <v>#REF!</v>
      </c>
      <c r="O20" s="297" t="e">
        <f t="shared" si="6"/>
        <v>#REF!</v>
      </c>
      <c r="P20" s="297" t="e">
        <f t="shared" si="6"/>
        <v>#REF!</v>
      </c>
      <c r="Q20" s="297" t="e">
        <f t="shared" si="6"/>
        <v>#REF!</v>
      </c>
      <c r="R20" s="297" t="e">
        <f t="shared" si="6"/>
        <v>#REF!</v>
      </c>
      <c r="S20" s="297" t="e">
        <f t="shared" si="6"/>
        <v>#REF!</v>
      </c>
      <c r="T20" s="297" t="e">
        <f t="shared" si="6"/>
        <v>#REF!</v>
      </c>
      <c r="U20" s="297" t="e">
        <f t="shared" si="6"/>
        <v>#REF!</v>
      </c>
      <c r="V20" s="297" t="e">
        <f t="shared" si="6"/>
        <v>#REF!</v>
      </c>
      <c r="W20" s="297" t="e">
        <f t="shared" si="6"/>
        <v>#REF!</v>
      </c>
      <c r="X20" s="297" t="e">
        <f t="shared" si="6"/>
        <v>#REF!</v>
      </c>
      <c r="Y20" s="297" t="e">
        <f t="shared" si="6"/>
        <v>#REF!</v>
      </c>
      <c r="Z20" s="297" t="e">
        <f t="shared" si="6"/>
        <v>#REF!</v>
      </c>
      <c r="AA20" s="297" t="e">
        <f t="shared" si="6"/>
        <v>#REF!</v>
      </c>
      <c r="AB20" s="297" t="e">
        <f t="shared" si="6"/>
        <v>#REF!</v>
      </c>
      <c r="AC20" s="297"/>
      <c r="AD20" s="297"/>
      <c r="AE20" s="297"/>
      <c r="AF20" s="297"/>
      <c r="AG20" s="297"/>
      <c r="AH20" s="198" t="e">
        <f t="shared" si="5"/>
        <v>#REF!</v>
      </c>
    </row>
    <row r="21" spans="2:35">
      <c r="B21" s="295" t="str">
        <f>B20&amp;".1"</f>
        <v>14.1</v>
      </c>
      <c r="C21" s="296" t="s">
        <v>607</v>
      </c>
      <c r="D21" s="297" t="e">
        <f t="shared" ref="D21:AB21" si="7">D6+D8+D9+D16+D17+D19</f>
        <v>#REF!</v>
      </c>
      <c r="E21" s="297" t="e">
        <f t="shared" si="7"/>
        <v>#REF!</v>
      </c>
      <c r="F21" s="297" t="e">
        <f t="shared" si="7"/>
        <v>#REF!</v>
      </c>
      <c r="G21" s="297" t="e">
        <f t="shared" si="7"/>
        <v>#REF!</v>
      </c>
      <c r="H21" s="297" t="e">
        <f t="shared" si="7"/>
        <v>#REF!</v>
      </c>
      <c r="I21" s="297" t="e">
        <f t="shared" si="7"/>
        <v>#REF!</v>
      </c>
      <c r="J21" s="297" t="e">
        <f t="shared" si="7"/>
        <v>#REF!</v>
      </c>
      <c r="K21" s="297" t="e">
        <f t="shared" si="7"/>
        <v>#REF!</v>
      </c>
      <c r="L21" s="297" t="e">
        <f t="shared" si="7"/>
        <v>#REF!</v>
      </c>
      <c r="M21" s="297" t="e">
        <f t="shared" si="7"/>
        <v>#REF!</v>
      </c>
      <c r="N21" s="297" t="e">
        <f t="shared" si="7"/>
        <v>#REF!</v>
      </c>
      <c r="O21" s="297" t="e">
        <f t="shared" si="7"/>
        <v>#REF!</v>
      </c>
      <c r="P21" s="297" t="e">
        <f t="shared" si="7"/>
        <v>#REF!</v>
      </c>
      <c r="Q21" s="297" t="e">
        <f t="shared" si="7"/>
        <v>#REF!</v>
      </c>
      <c r="R21" s="297" t="e">
        <f t="shared" si="7"/>
        <v>#REF!</v>
      </c>
      <c r="S21" s="297" t="e">
        <f t="shared" si="7"/>
        <v>#REF!</v>
      </c>
      <c r="T21" s="297" t="e">
        <f t="shared" si="7"/>
        <v>#REF!</v>
      </c>
      <c r="U21" s="297" t="e">
        <f t="shared" si="7"/>
        <v>#REF!</v>
      </c>
      <c r="V21" s="297" t="e">
        <f t="shared" si="7"/>
        <v>#REF!</v>
      </c>
      <c r="W21" s="297" t="e">
        <f t="shared" si="7"/>
        <v>#REF!</v>
      </c>
      <c r="X21" s="297" t="e">
        <f t="shared" si="7"/>
        <v>#REF!</v>
      </c>
      <c r="Y21" s="297" t="e">
        <f t="shared" si="7"/>
        <v>#REF!</v>
      </c>
      <c r="Z21" s="297" t="e">
        <f t="shared" si="7"/>
        <v>#REF!</v>
      </c>
      <c r="AA21" s="297" t="e">
        <f t="shared" si="7"/>
        <v>#REF!</v>
      </c>
      <c r="AB21" s="297" t="e">
        <f t="shared" si="7"/>
        <v>#REF!</v>
      </c>
      <c r="AC21" s="297"/>
      <c r="AD21" s="297"/>
      <c r="AE21" s="297"/>
      <c r="AF21" s="297"/>
      <c r="AG21" s="297"/>
      <c r="AH21" s="198" t="e">
        <f t="shared" si="5"/>
        <v>#REF!</v>
      </c>
      <c r="AI21" s="234" t="e">
        <f>AH21/20</f>
        <v>#REF!</v>
      </c>
    </row>
    <row r="22" spans="2:35">
      <c r="B22" s="295" t="str">
        <f>B20&amp;".2"</f>
        <v>14.2</v>
      </c>
      <c r="C22" s="296" t="s">
        <v>608</v>
      </c>
      <c r="D22" s="297" t="e">
        <f t="shared" ref="D22:AB22" si="8">D10+D11+D12+D13+D14+D15+D18</f>
        <v>#REF!</v>
      </c>
      <c r="E22" s="297" t="e">
        <f t="shared" si="8"/>
        <v>#REF!</v>
      </c>
      <c r="F22" s="297" t="e">
        <f t="shared" si="8"/>
        <v>#REF!</v>
      </c>
      <c r="G22" s="297" t="e">
        <f t="shared" si="8"/>
        <v>#REF!</v>
      </c>
      <c r="H22" s="297" t="e">
        <f t="shared" si="8"/>
        <v>#REF!</v>
      </c>
      <c r="I22" s="297" t="e">
        <f t="shared" si="8"/>
        <v>#REF!</v>
      </c>
      <c r="J22" s="297" t="e">
        <f t="shared" si="8"/>
        <v>#REF!</v>
      </c>
      <c r="K22" s="297" t="e">
        <f t="shared" si="8"/>
        <v>#REF!</v>
      </c>
      <c r="L22" s="297" t="e">
        <f t="shared" si="8"/>
        <v>#REF!</v>
      </c>
      <c r="M22" s="297" t="e">
        <f t="shared" si="8"/>
        <v>#REF!</v>
      </c>
      <c r="N22" s="297" t="e">
        <f t="shared" si="8"/>
        <v>#REF!</v>
      </c>
      <c r="O22" s="297" t="e">
        <f t="shared" si="8"/>
        <v>#REF!</v>
      </c>
      <c r="P22" s="297" t="e">
        <f t="shared" si="8"/>
        <v>#REF!</v>
      </c>
      <c r="Q22" s="297" t="e">
        <f t="shared" si="8"/>
        <v>#REF!</v>
      </c>
      <c r="R22" s="297" t="e">
        <f t="shared" si="8"/>
        <v>#REF!</v>
      </c>
      <c r="S22" s="297" t="e">
        <f t="shared" si="8"/>
        <v>#REF!</v>
      </c>
      <c r="T22" s="297" t="e">
        <f t="shared" si="8"/>
        <v>#REF!</v>
      </c>
      <c r="U22" s="297" t="e">
        <f t="shared" si="8"/>
        <v>#REF!</v>
      </c>
      <c r="V22" s="297" t="e">
        <f t="shared" si="8"/>
        <v>#REF!</v>
      </c>
      <c r="W22" s="297" t="e">
        <f t="shared" si="8"/>
        <v>#REF!</v>
      </c>
      <c r="X22" s="297" t="e">
        <f t="shared" si="8"/>
        <v>#REF!</v>
      </c>
      <c r="Y22" s="297" t="e">
        <f t="shared" si="8"/>
        <v>#REF!</v>
      </c>
      <c r="Z22" s="297" t="e">
        <f t="shared" si="8"/>
        <v>#REF!</v>
      </c>
      <c r="AA22" s="297" t="e">
        <f t="shared" si="8"/>
        <v>#REF!</v>
      </c>
      <c r="AB22" s="297" t="e">
        <f t="shared" si="8"/>
        <v>#REF!</v>
      </c>
      <c r="AC22" s="297"/>
      <c r="AD22" s="297"/>
      <c r="AE22" s="297"/>
      <c r="AF22" s="297"/>
      <c r="AG22" s="297"/>
      <c r="AH22" s="198" t="e">
        <f t="shared" si="5"/>
        <v>#REF!</v>
      </c>
      <c r="AI22" s="234" t="e">
        <f>AH22/20</f>
        <v>#REF!</v>
      </c>
    </row>
    <row r="23" spans="2:34">
      <c r="B23" s="295">
        <f>B20+1</f>
        <v>15</v>
      </c>
      <c r="C23" s="296" t="s">
        <v>609</v>
      </c>
      <c r="D23" s="302" t="e">
        <f>IF(D4&gt;zq,0,D20/D5/360/成本!$D$4)</f>
        <v>#REF!</v>
      </c>
      <c r="E23" s="302" t="e">
        <f>IF(E4&gt;zq,0,E20/E5/360/成本!$D$4)</f>
        <v>#REF!</v>
      </c>
      <c r="F23" s="302" t="e">
        <f>IF(F4&gt;zq,0,F20/F5/360/成本!$D$4)</f>
        <v>#REF!</v>
      </c>
      <c r="G23" s="302" t="e">
        <f>IF(G4&gt;zq,0,G20/G5/360/成本!$D$4)</f>
        <v>#REF!</v>
      </c>
      <c r="H23" s="302" t="e">
        <f>IF(H4&gt;zq,0,H20/H5/360/成本!$D$4)</f>
        <v>#REF!</v>
      </c>
      <c r="I23" s="302" t="e">
        <f>IF(I4&gt;zq,0,I20/I5/360/成本!$D$4)</f>
        <v>#REF!</v>
      </c>
      <c r="J23" s="302" t="e">
        <f>IF(J4&gt;zq,0,J20/J5/360/成本!$D$4)</f>
        <v>#REF!</v>
      </c>
      <c r="K23" s="302" t="e">
        <f>IF(K4&gt;zq,0,K20/K5/360/成本!$D$4)</f>
        <v>#REF!</v>
      </c>
      <c r="L23" s="302" t="e">
        <f>IF(L4&gt;zq,0,L20/L5/360/成本!$D$4)</f>
        <v>#REF!</v>
      </c>
      <c r="M23" s="302" t="e">
        <f>IF(M4&gt;zq,0,M20/M5/360/成本!$D$4)</f>
        <v>#REF!</v>
      </c>
      <c r="N23" s="302" t="e">
        <f>IF(N4&gt;zq,0,N20/N5/360/成本!$D$4)</f>
        <v>#REF!</v>
      </c>
      <c r="O23" s="302" t="e">
        <f>IF(O4&gt;zq,0,O20/O5/360/成本!$D$4)</f>
        <v>#REF!</v>
      </c>
      <c r="P23" s="302" t="e">
        <f>IF(P4&gt;zq,0,P20/P5/360/成本!$D$4)</f>
        <v>#REF!</v>
      </c>
      <c r="Q23" s="302" t="e">
        <f>IF(Q4&gt;zq,0,Q20/Q5/360/成本!$D$4)</f>
        <v>#REF!</v>
      </c>
      <c r="R23" s="302" t="e">
        <f>IF(R4&gt;zq,0,R20/R5/360/成本!$D$4)</f>
        <v>#REF!</v>
      </c>
      <c r="S23" s="302" t="e">
        <f>IF(S4&gt;zq,0,S20/S5/360/成本!$D$4)</f>
        <v>#REF!</v>
      </c>
      <c r="T23" s="302" t="e">
        <f>IF(T4&gt;zq,0,T20/T5/360/成本!$D$4)</f>
        <v>#REF!</v>
      </c>
      <c r="U23" s="302" t="e">
        <f>IF(U4&gt;zq,0,U20/U5/360/成本!$D$4)</f>
        <v>#REF!</v>
      </c>
      <c r="V23" s="302" t="e">
        <f>IF(V4&gt;zq,0,V20/V5/360/成本!$D$4)</f>
        <v>#REF!</v>
      </c>
      <c r="W23" s="302" t="e">
        <f>IF(W4&gt;zq,0,W20/W5/360/成本!$D$4)</f>
        <v>#REF!</v>
      </c>
      <c r="X23" s="302" t="e">
        <f>IF(X4&gt;zq,0,X20/X5/360/成本!$D$4)</f>
        <v>#REF!</v>
      </c>
      <c r="Y23" s="302" t="e">
        <f>IF(Y4&gt;zq,0,Y20/Y5/360/成本!$D$4)</f>
        <v>#REF!</v>
      </c>
      <c r="Z23" s="302" t="e">
        <f>IF(Z4&gt;zq,0,Z20/Z5/360/成本!$D$4)</f>
        <v>#REF!</v>
      </c>
      <c r="AA23" s="302" t="e">
        <f>IF(AA4&gt;zq,0,AA20/AA5/360/成本!$D$4)</f>
        <v>#REF!</v>
      </c>
      <c r="AB23" s="302" t="e">
        <f>IF(AB4&gt;zq,0,AB20/AB5/360/成本!$D$4)</f>
        <v>#REF!</v>
      </c>
      <c r="AC23" s="302">
        <f>IF(AC4&gt;zq,0,AC20/AC5/360/成本!$D$4)</f>
        <v>0</v>
      </c>
      <c r="AD23" s="302">
        <f>IF(AD4&gt;zq,0,AD20/AD5/360/成本!$D$4)</f>
        <v>0</v>
      </c>
      <c r="AE23" s="302">
        <f>IF(AE4&gt;zq,0,AE20/AE5/360/成本!$D$4)</f>
        <v>0</v>
      </c>
      <c r="AF23" s="302">
        <f>IF(AF4&gt;zq,0,AF20/AF5/360/成本!$D$4)</f>
        <v>0</v>
      </c>
      <c r="AG23" s="302">
        <f>IF(AG4&gt;zq,0,AG20/AG5/360/成本!$D$4)</f>
        <v>0</v>
      </c>
      <c r="AH23" s="198"/>
    </row>
    <row r="24" spans="2:34">
      <c r="B24" s="295"/>
      <c r="C24" s="296" t="s">
        <v>610</v>
      </c>
      <c r="D24" s="300" t="e">
        <f>IF(D4&gt;zq,0,D21/D5/360/成本!$D$4)</f>
        <v>#REF!</v>
      </c>
      <c r="E24" s="300" t="e">
        <f>IF(E4&gt;zq,0,E21/E5/360/成本!$D$4)</f>
        <v>#REF!</v>
      </c>
      <c r="F24" s="300" t="e">
        <f>IF(F4&gt;zq,0,F21/F5/360/成本!$D$4)</f>
        <v>#REF!</v>
      </c>
      <c r="G24" s="300" t="e">
        <f>IF(G4&gt;zq,0,G21/G5/360/成本!$D$4)</f>
        <v>#REF!</v>
      </c>
      <c r="H24" s="300" t="e">
        <f>IF(H4&gt;zq,0,H21/H5/360/成本!$D$4)</f>
        <v>#REF!</v>
      </c>
      <c r="I24" s="300" t="e">
        <f>IF(I4&gt;zq,0,I21/I5/360/成本!$D$4)</f>
        <v>#REF!</v>
      </c>
      <c r="J24" s="300" t="e">
        <f>IF(J4&gt;zq,0,J21/J5/360/成本!$D$4)</f>
        <v>#REF!</v>
      </c>
      <c r="K24" s="300" t="e">
        <f>IF(K4&gt;zq,0,K21/K5/360/成本!$D$4)</f>
        <v>#REF!</v>
      </c>
      <c r="L24" s="300" t="e">
        <f>IF(L4&gt;zq,0,L21/L5/360/成本!$D$4)</f>
        <v>#REF!</v>
      </c>
      <c r="M24" s="300" t="e">
        <f>IF(M4&gt;zq,0,M21/M5/360/成本!$D$4)</f>
        <v>#REF!</v>
      </c>
      <c r="N24" s="300" t="e">
        <f>IF(N4&gt;zq,0,N21/N5/360/成本!$D$4)</f>
        <v>#REF!</v>
      </c>
      <c r="O24" s="300" t="e">
        <f>IF(O4&gt;zq,0,O21/O5/360/成本!$D$4)</f>
        <v>#REF!</v>
      </c>
      <c r="P24" s="300" t="e">
        <f>IF(P4&gt;zq,0,P21/P5/360/成本!$D$4)</f>
        <v>#REF!</v>
      </c>
      <c r="Q24" s="300" t="e">
        <f>IF(Q4&gt;zq,0,Q21/Q5/360/成本!$D$4)</f>
        <v>#REF!</v>
      </c>
      <c r="R24" s="300" t="e">
        <f>IF(R4&gt;zq,0,R21/R5/360/成本!$D$4)</f>
        <v>#REF!</v>
      </c>
      <c r="S24" s="300" t="e">
        <f>IF(S4&gt;zq,0,S21/S5/360/成本!$D$4)</f>
        <v>#REF!</v>
      </c>
      <c r="T24" s="300" t="e">
        <f>IF(T4&gt;zq,0,T21/T5/360/成本!$D$4)</f>
        <v>#REF!</v>
      </c>
      <c r="U24" s="300" t="e">
        <f>IF(U4&gt;zq,0,U21/U5/360/成本!$D$4)</f>
        <v>#REF!</v>
      </c>
      <c r="V24" s="300" t="e">
        <f>IF(V4&gt;zq,0,V21/V5/360/成本!$D$4)</f>
        <v>#REF!</v>
      </c>
      <c r="W24" s="300" t="e">
        <f>IF(W4&gt;zq,0,W21/W5/360/成本!$D$4)</f>
        <v>#REF!</v>
      </c>
      <c r="X24" s="300" t="e">
        <f>IF(X4&gt;zq,0,X21/X5/360/成本!$D$4)</f>
        <v>#REF!</v>
      </c>
      <c r="Y24" s="300" t="e">
        <f>IF(Y4&gt;zq,0,Y21/Y5/360/成本!$D$4)</f>
        <v>#REF!</v>
      </c>
      <c r="Z24" s="300" t="e">
        <f>IF(Z4&gt;zq,0,Z21/Z5/360/成本!$D$4)</f>
        <v>#REF!</v>
      </c>
      <c r="AA24" s="300" t="e">
        <f>IF(AA4&gt;zq,0,AA21/AA5/360/成本!$D$4)</f>
        <v>#REF!</v>
      </c>
      <c r="AB24" s="300" t="e">
        <f>IF(AB4&gt;zq,0,AB21/AB5/360/成本!$D$4)</f>
        <v>#REF!</v>
      </c>
      <c r="AC24" s="300">
        <f>IF(AC4&gt;zq,0,AC21/AC5/360/成本!$D$4)</f>
        <v>0</v>
      </c>
      <c r="AD24" s="300">
        <f>IF(AD4&gt;zq,0,AD21/AD5/360/成本!$D$4)</f>
        <v>0</v>
      </c>
      <c r="AE24" s="300">
        <f>IF(AE4&gt;zq,0,AE21/AE5/360/成本!$D$4)</f>
        <v>0</v>
      </c>
      <c r="AF24" s="300">
        <f>IF(AF4&gt;zq,0,AF21/AF5/360/成本!$D$4)</f>
        <v>0</v>
      </c>
      <c r="AG24" s="300">
        <f>IF(AG4&gt;zq,0,AG21/AG5/360/成本!$D$4)</f>
        <v>0</v>
      </c>
      <c r="AH24" s="198"/>
    </row>
    <row r="25" spans="2:34">
      <c r="B25" s="295">
        <f>B23+1</f>
        <v>16</v>
      </c>
      <c r="C25" s="296" t="s">
        <v>611</v>
      </c>
      <c r="D25" s="297" t="e">
        <f t="shared" ref="D25:AG25" si="9">D6+D8+D9+D10+D13+D14+D16+D17</f>
        <v>#REF!</v>
      </c>
      <c r="E25" s="297" t="e">
        <f t="shared" si="9"/>
        <v>#REF!</v>
      </c>
      <c r="F25" s="297" t="e">
        <f t="shared" si="9"/>
        <v>#REF!</v>
      </c>
      <c r="G25" s="297" t="e">
        <f t="shared" si="9"/>
        <v>#REF!</v>
      </c>
      <c r="H25" s="297" t="e">
        <f t="shared" si="9"/>
        <v>#REF!</v>
      </c>
      <c r="I25" s="297" t="e">
        <f t="shared" si="9"/>
        <v>#REF!</v>
      </c>
      <c r="J25" s="297" t="e">
        <f t="shared" si="9"/>
        <v>#REF!</v>
      </c>
      <c r="K25" s="297" t="e">
        <f t="shared" si="9"/>
        <v>#REF!</v>
      </c>
      <c r="L25" s="297" t="e">
        <f t="shared" si="9"/>
        <v>#REF!</v>
      </c>
      <c r="M25" s="297" t="e">
        <f t="shared" si="9"/>
        <v>#REF!</v>
      </c>
      <c r="N25" s="297" t="e">
        <f t="shared" si="9"/>
        <v>#REF!</v>
      </c>
      <c r="O25" s="297" t="e">
        <f t="shared" si="9"/>
        <v>#REF!</v>
      </c>
      <c r="P25" s="297" t="e">
        <f t="shared" si="9"/>
        <v>#REF!</v>
      </c>
      <c r="Q25" s="297" t="e">
        <f t="shared" si="9"/>
        <v>#REF!</v>
      </c>
      <c r="R25" s="297" t="e">
        <f t="shared" si="9"/>
        <v>#REF!</v>
      </c>
      <c r="S25" s="297" t="e">
        <f t="shared" si="9"/>
        <v>#REF!</v>
      </c>
      <c r="T25" s="297" t="e">
        <f t="shared" si="9"/>
        <v>#REF!</v>
      </c>
      <c r="U25" s="297" t="e">
        <f t="shared" si="9"/>
        <v>#REF!</v>
      </c>
      <c r="V25" s="297" t="e">
        <f t="shared" si="9"/>
        <v>#REF!</v>
      </c>
      <c r="W25" s="297" t="e">
        <f t="shared" si="9"/>
        <v>#REF!</v>
      </c>
      <c r="X25" s="297" t="e">
        <f t="shared" si="9"/>
        <v>#REF!</v>
      </c>
      <c r="Y25" s="297" t="e">
        <f t="shared" si="9"/>
        <v>#REF!</v>
      </c>
      <c r="Z25" s="297" t="e">
        <f t="shared" si="9"/>
        <v>#REF!</v>
      </c>
      <c r="AA25" s="297" t="e">
        <f t="shared" si="9"/>
        <v>#REF!</v>
      </c>
      <c r="AB25" s="297" t="e">
        <f t="shared" si="9"/>
        <v>#REF!</v>
      </c>
      <c r="AC25" s="297">
        <f t="shared" si="9"/>
        <v>0</v>
      </c>
      <c r="AD25" s="297">
        <f t="shared" si="9"/>
        <v>0</v>
      </c>
      <c r="AE25" s="297">
        <f t="shared" si="9"/>
        <v>0</v>
      </c>
      <c r="AF25" s="297">
        <f t="shared" si="9"/>
        <v>0</v>
      </c>
      <c r="AG25" s="297">
        <f t="shared" si="9"/>
        <v>0</v>
      </c>
      <c r="AH25" s="198" t="e">
        <f>SUM(D25:AG25)</f>
        <v>#REF!</v>
      </c>
    </row>
    <row r="26" spans="2:34">
      <c r="B26" s="295"/>
      <c r="C26" s="296" t="s">
        <v>613</v>
      </c>
      <c r="D26" s="300" t="e">
        <f>IF(D4&gt;zq,0,D25/D5/360/成本!$D$4)</f>
        <v>#REF!</v>
      </c>
      <c r="E26" s="300" t="e">
        <f>IF(E4&gt;zq,0,E25/E5/360/成本!$D$4)</f>
        <v>#REF!</v>
      </c>
      <c r="F26" s="300" t="e">
        <f>IF(F4&gt;zq,0,F25/F5/360/成本!$D$4)</f>
        <v>#REF!</v>
      </c>
      <c r="G26" s="300" t="e">
        <f>IF(G4&gt;zq,0,G25/G5/360/成本!$D$4)</f>
        <v>#REF!</v>
      </c>
      <c r="H26" s="300" t="e">
        <f>IF(H4&gt;zq,0,H25/H5/360/成本!$D$4)</f>
        <v>#REF!</v>
      </c>
      <c r="I26" s="300" t="e">
        <f>IF(I4&gt;zq,0,I25/I5/360/成本!$D$4)</f>
        <v>#REF!</v>
      </c>
      <c r="J26" s="300" t="e">
        <f>IF(J4&gt;zq,0,J25/J5/360/成本!$D$4)</f>
        <v>#REF!</v>
      </c>
      <c r="K26" s="300" t="e">
        <f>IF(K4&gt;zq,0,K25/K5/360/成本!$D$4)</f>
        <v>#REF!</v>
      </c>
      <c r="L26" s="300" t="e">
        <f>IF(L4&gt;zq,0,L25/L5/360/成本!$D$4)</f>
        <v>#REF!</v>
      </c>
      <c r="M26" s="300" t="e">
        <f>IF(M4&gt;zq,0,M25/M5/360/成本!$D$4)</f>
        <v>#REF!</v>
      </c>
      <c r="N26" s="300" t="e">
        <f>IF(N4&gt;zq,0,N25/N5/360/成本!$D$4)</f>
        <v>#REF!</v>
      </c>
      <c r="O26" s="300" t="e">
        <f>IF(O4&gt;zq,0,O25/O5/360/成本!$D$4)</f>
        <v>#REF!</v>
      </c>
      <c r="P26" s="300" t="e">
        <f>IF(P4&gt;zq,0,P25/P5/360/成本!$D$4)</f>
        <v>#REF!</v>
      </c>
      <c r="Q26" s="300" t="e">
        <f>IF(Q4&gt;zq,0,Q25/Q5/360/成本!$D$4)</f>
        <v>#REF!</v>
      </c>
      <c r="R26" s="300" t="e">
        <f>IF(R4&gt;zq,0,R25/R5/360/成本!$D$4)</f>
        <v>#REF!</v>
      </c>
      <c r="S26" s="300" t="e">
        <f>IF(S4&gt;zq,0,S25/S5/360/成本!$D$4)</f>
        <v>#REF!</v>
      </c>
      <c r="T26" s="300" t="e">
        <f>IF(T4&gt;zq,0,T25/T5/360/成本!$D$4)</f>
        <v>#REF!</v>
      </c>
      <c r="U26" s="300" t="e">
        <f>IF(U4&gt;zq,0,U25/U5/360/成本!$D$4)</f>
        <v>#REF!</v>
      </c>
      <c r="V26" s="300" t="e">
        <f>IF(V4&gt;zq,0,V25/V5/360/成本!$D$4)</f>
        <v>#REF!</v>
      </c>
      <c r="W26" s="300" t="e">
        <f>IF(W4&gt;zq,0,W25/W5/360/成本!$D$4)</f>
        <v>#REF!</v>
      </c>
      <c r="X26" s="300" t="e">
        <f>IF(X4&gt;zq,0,X25/X5/360/成本!$D$4)</f>
        <v>#REF!</v>
      </c>
      <c r="Y26" s="300" t="e">
        <f>IF(Y4&gt;zq,0,Y25/Y5/360/成本!$D$4)</f>
        <v>#REF!</v>
      </c>
      <c r="Z26" s="300" t="e">
        <f>IF(Z4&gt;zq,0,Z25/Z5/360/成本!$D$4)</f>
        <v>#REF!</v>
      </c>
      <c r="AA26" s="300" t="e">
        <f>IF(AA4&gt;zq,0,AA25/AA5/360/成本!$D$4)</f>
        <v>#REF!</v>
      </c>
      <c r="AB26" s="300" t="e">
        <f>IF(AB4&gt;zq,0,AB25/AB5/360/成本!$D$4)</f>
        <v>#REF!</v>
      </c>
      <c r="AC26" s="300">
        <f>IF(AC4&gt;zq,0,AC25/AC5/360/成本!$D$4)</f>
        <v>0</v>
      </c>
      <c r="AD26" s="300">
        <f>IF(AD4&gt;zq,0,AD25/AD5/360/成本!$D$4)</f>
        <v>0</v>
      </c>
      <c r="AE26" s="300">
        <f>IF(AE4&gt;zq,0,AE25/AE5/360/成本!$D$4)</f>
        <v>0</v>
      </c>
      <c r="AF26" s="300">
        <f>IF(AF4&gt;zq,0,AF25/AF5/360/成本!$D$4)</f>
        <v>0</v>
      </c>
      <c r="AG26" s="300">
        <f>IF(AG4&gt;zq,0,AG25/AG5/360/成本!$D$4)</f>
        <v>0</v>
      </c>
      <c r="AH26" s="198"/>
    </row>
    <row r="27" hidden="true" spans="2:34">
      <c r="B27" s="303" t="s">
        <v>635</v>
      </c>
      <c r="C27" s="304" t="s">
        <v>612</v>
      </c>
      <c r="D27" s="305" t="e">
        <f>流动资金!F12</f>
        <v>#REF!</v>
      </c>
      <c r="E27" s="305" t="e">
        <f>流动资金!G12</f>
        <v>#REF!</v>
      </c>
      <c r="F27" s="305" t="e">
        <f>流动资金!H12</f>
        <v>#REF!</v>
      </c>
      <c r="G27" s="305" t="e">
        <f>流动资金!I12</f>
        <v>#REF!</v>
      </c>
      <c r="H27" s="305" t="e">
        <f>流动资金!J12</f>
        <v>#REF!</v>
      </c>
      <c r="I27" s="305" t="e">
        <f>流动资金!K12</f>
        <v>#REF!</v>
      </c>
      <c r="J27" s="305" t="e">
        <f>流动资金!L12</f>
        <v>#REF!</v>
      </c>
      <c r="K27" s="305" t="e">
        <f>流动资金!M12</f>
        <v>#REF!</v>
      </c>
      <c r="L27" s="305" t="e">
        <f>流动资金!N12</f>
        <v>#REF!</v>
      </c>
      <c r="M27" s="305" t="e">
        <f>流动资金!O12</f>
        <v>#REF!</v>
      </c>
      <c r="N27" s="305" t="e">
        <f>流动资金!P12</f>
        <v>#REF!</v>
      </c>
      <c r="O27" s="305" t="e">
        <f>流动资金!Q12</f>
        <v>#REF!</v>
      </c>
      <c r="P27" s="305" t="e">
        <f>流动资金!R12</f>
        <v>#REF!</v>
      </c>
      <c r="Q27" s="305" t="e">
        <f>流动资金!S12</f>
        <v>#REF!</v>
      </c>
      <c r="R27" s="305" t="e">
        <f>流动资金!T12</f>
        <v>#REF!</v>
      </c>
      <c r="S27" s="305" t="e">
        <f>流动资金!U12</f>
        <v>#REF!</v>
      </c>
      <c r="T27" s="305" t="e">
        <f>流动资金!V12</f>
        <v>#REF!</v>
      </c>
      <c r="U27" s="305" t="e">
        <f>流动资金!W12</f>
        <v>#REF!</v>
      </c>
      <c r="V27" s="305" t="e">
        <f>流动资金!X12</f>
        <v>#REF!</v>
      </c>
      <c r="W27" s="305" t="e">
        <f>流动资金!Y12</f>
        <v>#REF!</v>
      </c>
      <c r="X27" s="305" t="e">
        <f>流动资金!Z12</f>
        <v>#REF!</v>
      </c>
      <c r="Y27" s="305" t="e">
        <f>流动资金!AA12</f>
        <v>#REF!</v>
      </c>
      <c r="Z27" s="305" t="e">
        <f>流动资金!AB12</f>
        <v>#REF!</v>
      </c>
      <c r="AA27" s="305" t="e">
        <f>流动资金!AC12</f>
        <v>#REF!</v>
      </c>
      <c r="AB27" s="305" t="e">
        <f>流动资金!AD12</f>
        <v>#REF!</v>
      </c>
      <c r="AC27" s="305">
        <f>流动资金!AE12</f>
        <v>0</v>
      </c>
      <c r="AD27" s="305">
        <f>流动资金!AF12</f>
        <v>0</v>
      </c>
      <c r="AE27" s="305">
        <f>流动资金!AG12</f>
        <v>0</v>
      </c>
      <c r="AF27" s="305">
        <f>流动资金!AH12</f>
        <v>0</v>
      </c>
      <c r="AG27" s="305">
        <f>流动资金!AI12</f>
        <v>0</v>
      </c>
      <c r="AH27" s="323"/>
    </row>
    <row r="28" hidden="true" spans="2:34">
      <c r="B28" s="306" t="s">
        <v>636</v>
      </c>
      <c r="C28" s="307" t="s">
        <v>614</v>
      </c>
      <c r="D28" s="308" t="e">
        <f t="shared" ref="D28:AG28" si="10">D27*0.3</f>
        <v>#REF!</v>
      </c>
      <c r="E28" s="318" t="e">
        <f t="shared" si="10"/>
        <v>#REF!</v>
      </c>
      <c r="F28" s="318" t="e">
        <f t="shared" si="10"/>
        <v>#REF!</v>
      </c>
      <c r="G28" s="318" t="e">
        <f t="shared" si="10"/>
        <v>#REF!</v>
      </c>
      <c r="H28" s="318" t="e">
        <f t="shared" si="10"/>
        <v>#REF!</v>
      </c>
      <c r="I28" s="318" t="e">
        <f t="shared" si="10"/>
        <v>#REF!</v>
      </c>
      <c r="J28" s="318" t="e">
        <f t="shared" si="10"/>
        <v>#REF!</v>
      </c>
      <c r="K28" s="318" t="e">
        <f t="shared" si="10"/>
        <v>#REF!</v>
      </c>
      <c r="L28" s="318" t="e">
        <f t="shared" si="10"/>
        <v>#REF!</v>
      </c>
      <c r="M28" s="318" t="e">
        <f t="shared" si="10"/>
        <v>#REF!</v>
      </c>
      <c r="N28" s="318" t="e">
        <f t="shared" si="10"/>
        <v>#REF!</v>
      </c>
      <c r="O28" s="318" t="e">
        <f t="shared" si="10"/>
        <v>#REF!</v>
      </c>
      <c r="P28" s="318" t="e">
        <f t="shared" si="10"/>
        <v>#REF!</v>
      </c>
      <c r="Q28" s="319" t="e">
        <f t="shared" si="10"/>
        <v>#REF!</v>
      </c>
      <c r="R28" s="318" t="e">
        <f t="shared" si="10"/>
        <v>#REF!</v>
      </c>
      <c r="S28" s="318" t="e">
        <f t="shared" si="10"/>
        <v>#REF!</v>
      </c>
      <c r="T28" s="318" t="e">
        <f t="shared" si="10"/>
        <v>#REF!</v>
      </c>
      <c r="U28" s="318" t="e">
        <f t="shared" si="10"/>
        <v>#REF!</v>
      </c>
      <c r="V28" s="318" t="e">
        <f t="shared" si="10"/>
        <v>#REF!</v>
      </c>
      <c r="W28" s="318" t="e">
        <f t="shared" si="10"/>
        <v>#REF!</v>
      </c>
      <c r="X28" s="318" t="e">
        <f t="shared" si="10"/>
        <v>#REF!</v>
      </c>
      <c r="Y28" s="318" t="e">
        <f t="shared" si="10"/>
        <v>#REF!</v>
      </c>
      <c r="Z28" s="318" t="e">
        <f t="shared" si="10"/>
        <v>#REF!</v>
      </c>
      <c r="AA28" s="318" t="e">
        <f t="shared" si="10"/>
        <v>#REF!</v>
      </c>
      <c r="AB28" s="318" t="e">
        <f t="shared" si="10"/>
        <v>#REF!</v>
      </c>
      <c r="AC28" s="318">
        <f t="shared" si="10"/>
        <v>0</v>
      </c>
      <c r="AD28" s="318">
        <f t="shared" si="10"/>
        <v>0</v>
      </c>
      <c r="AE28" s="318">
        <f t="shared" si="10"/>
        <v>0</v>
      </c>
      <c r="AF28" s="318">
        <f t="shared" si="10"/>
        <v>0</v>
      </c>
      <c r="AG28" s="318">
        <f t="shared" si="10"/>
        <v>0</v>
      </c>
      <c r="AH28" s="324"/>
    </row>
    <row r="30" spans="2:33">
      <c r="B30" s="309"/>
      <c r="C30" s="310">
        <v>0.13</v>
      </c>
      <c r="D30" s="82">
        <f t="shared" ref="D30:AG30" si="11">+D6/(1+$C30)*$C30</f>
        <v>51.651251007292</v>
      </c>
      <c r="E30" s="82">
        <f t="shared" si="11"/>
        <v>58.1076573832036</v>
      </c>
      <c r="F30" s="82">
        <f t="shared" si="11"/>
        <v>64.564063759115</v>
      </c>
      <c r="G30" s="82">
        <f t="shared" si="11"/>
        <v>64.564063759115</v>
      </c>
      <c r="H30" s="82">
        <f t="shared" si="11"/>
        <v>64.564063759115</v>
      </c>
      <c r="I30" s="82">
        <f t="shared" si="11"/>
        <v>64.564063759115</v>
      </c>
      <c r="J30" s="82">
        <f t="shared" si="11"/>
        <v>64.564063759115</v>
      </c>
      <c r="K30" s="82">
        <f t="shared" si="11"/>
        <v>64.564063759115</v>
      </c>
      <c r="L30" s="82">
        <f t="shared" si="11"/>
        <v>64.564063759115</v>
      </c>
      <c r="M30" s="82">
        <f t="shared" si="11"/>
        <v>64.564063759115</v>
      </c>
      <c r="N30" s="82">
        <f t="shared" si="11"/>
        <v>64.564063759115</v>
      </c>
      <c r="O30" s="82">
        <f t="shared" si="11"/>
        <v>64.564063759115</v>
      </c>
      <c r="P30" s="82">
        <f t="shared" si="11"/>
        <v>64.564063759115</v>
      </c>
      <c r="Q30" s="82">
        <f t="shared" si="11"/>
        <v>64.564063759115</v>
      </c>
      <c r="R30" s="82">
        <f t="shared" si="11"/>
        <v>64.564063759115</v>
      </c>
      <c r="S30" s="82">
        <f t="shared" si="11"/>
        <v>64.564063759115</v>
      </c>
      <c r="T30" s="82">
        <f t="shared" si="11"/>
        <v>64.564063759115</v>
      </c>
      <c r="U30" s="82">
        <f t="shared" si="11"/>
        <v>64.564063759115</v>
      </c>
      <c r="V30" s="82">
        <f t="shared" si="11"/>
        <v>64.564063759115</v>
      </c>
      <c r="W30" s="82">
        <f t="shared" si="11"/>
        <v>64.564063759115</v>
      </c>
      <c r="X30" s="82">
        <f t="shared" si="11"/>
        <v>64.564063759115</v>
      </c>
      <c r="Y30" s="82">
        <f t="shared" si="11"/>
        <v>64.564063759115</v>
      </c>
      <c r="Z30" s="82">
        <f t="shared" si="11"/>
        <v>64.564063759115</v>
      </c>
      <c r="AA30" s="82">
        <f t="shared" si="11"/>
        <v>64.564063759115</v>
      </c>
      <c r="AB30" s="82">
        <f t="shared" si="11"/>
        <v>64.564063759115</v>
      </c>
      <c r="AC30" s="82">
        <f t="shared" si="11"/>
        <v>0</v>
      </c>
      <c r="AD30" s="82">
        <f t="shared" si="11"/>
        <v>0</v>
      </c>
      <c r="AE30" s="82">
        <f t="shared" si="11"/>
        <v>0</v>
      </c>
      <c r="AF30" s="82">
        <f t="shared" si="11"/>
        <v>0</v>
      </c>
      <c r="AG30" s="82">
        <f t="shared" si="11"/>
        <v>0</v>
      </c>
    </row>
    <row r="31" spans="3:33">
      <c r="C31" s="311">
        <v>0.09</v>
      </c>
      <c r="D31" s="312">
        <f t="shared" ref="D31:AG31" si="12">+D8/(1+$C31)*$C31</f>
        <v>0</v>
      </c>
      <c r="E31" s="312">
        <f t="shared" si="12"/>
        <v>0</v>
      </c>
      <c r="F31" s="312">
        <f t="shared" si="12"/>
        <v>0</v>
      </c>
      <c r="G31" s="312">
        <f t="shared" si="12"/>
        <v>0</v>
      </c>
      <c r="H31" s="312">
        <f t="shared" si="12"/>
        <v>0</v>
      </c>
      <c r="I31" s="312">
        <f t="shared" si="12"/>
        <v>0</v>
      </c>
      <c r="J31" s="312">
        <f t="shared" si="12"/>
        <v>0</v>
      </c>
      <c r="K31" s="312">
        <f t="shared" si="12"/>
        <v>0</v>
      </c>
      <c r="L31" s="312">
        <f t="shared" si="12"/>
        <v>0</v>
      </c>
      <c r="M31" s="312">
        <f t="shared" si="12"/>
        <v>0</v>
      </c>
      <c r="N31" s="312">
        <f t="shared" si="12"/>
        <v>0</v>
      </c>
      <c r="O31" s="312">
        <f t="shared" si="12"/>
        <v>0</v>
      </c>
      <c r="P31" s="312">
        <f t="shared" si="12"/>
        <v>0</v>
      </c>
      <c r="Q31" s="312">
        <f t="shared" si="12"/>
        <v>0</v>
      </c>
      <c r="R31" s="312">
        <f t="shared" si="12"/>
        <v>0</v>
      </c>
      <c r="S31" s="312">
        <f t="shared" si="12"/>
        <v>0</v>
      </c>
      <c r="T31" s="312">
        <f t="shared" si="12"/>
        <v>0</v>
      </c>
      <c r="U31" s="312">
        <f t="shared" si="12"/>
        <v>0</v>
      </c>
      <c r="V31" s="312">
        <f t="shared" si="12"/>
        <v>0</v>
      </c>
      <c r="W31" s="312">
        <f t="shared" si="12"/>
        <v>0</v>
      </c>
      <c r="X31" s="312">
        <f t="shared" si="12"/>
        <v>0</v>
      </c>
      <c r="Y31" s="312">
        <f t="shared" si="12"/>
        <v>0</v>
      </c>
      <c r="Z31" s="312">
        <f t="shared" si="12"/>
        <v>0</v>
      </c>
      <c r="AA31" s="312">
        <f t="shared" si="12"/>
        <v>0</v>
      </c>
      <c r="AB31" s="312">
        <f t="shared" si="12"/>
        <v>0</v>
      </c>
      <c r="AC31" s="312">
        <f t="shared" si="12"/>
        <v>0</v>
      </c>
      <c r="AD31" s="312">
        <f t="shared" si="12"/>
        <v>0</v>
      </c>
      <c r="AE31" s="312">
        <f t="shared" si="12"/>
        <v>0</v>
      </c>
      <c r="AF31" s="312">
        <f t="shared" si="12"/>
        <v>0</v>
      </c>
      <c r="AG31" s="312">
        <f t="shared" si="12"/>
        <v>0</v>
      </c>
    </row>
    <row r="32" spans="3:33">
      <c r="C32" s="311">
        <v>0.13</v>
      </c>
      <c r="D32" s="313">
        <f t="shared" ref="D32:AG32" si="13">+D9/(1+$C32)*$C32</f>
        <v>0.173483044247788</v>
      </c>
      <c r="E32" s="313">
        <f t="shared" si="13"/>
        <v>0.195168424778761</v>
      </c>
      <c r="F32" s="313">
        <f t="shared" si="13"/>
        <v>0.216853805309735</v>
      </c>
      <c r="G32" s="313">
        <f t="shared" si="13"/>
        <v>0.216853805309735</v>
      </c>
      <c r="H32" s="313">
        <f t="shared" si="13"/>
        <v>0.216853805309735</v>
      </c>
      <c r="I32" s="313">
        <f t="shared" si="13"/>
        <v>0.216853805309735</v>
      </c>
      <c r="J32" s="313">
        <f t="shared" si="13"/>
        <v>0.216853805309735</v>
      </c>
      <c r="K32" s="313">
        <f t="shared" si="13"/>
        <v>0.216853805309735</v>
      </c>
      <c r="L32" s="313">
        <f t="shared" si="13"/>
        <v>0.216853805309735</v>
      </c>
      <c r="M32" s="313">
        <f t="shared" si="13"/>
        <v>0.216853805309735</v>
      </c>
      <c r="N32" s="313">
        <f t="shared" si="13"/>
        <v>0.216853805309735</v>
      </c>
      <c r="O32" s="313">
        <f t="shared" si="13"/>
        <v>0.216853805309735</v>
      </c>
      <c r="P32" s="313">
        <f t="shared" si="13"/>
        <v>0.216853805309735</v>
      </c>
      <c r="Q32" s="313">
        <f t="shared" si="13"/>
        <v>0.216853805309735</v>
      </c>
      <c r="R32" s="313">
        <f t="shared" si="13"/>
        <v>0.216853805309735</v>
      </c>
      <c r="S32" s="313">
        <f t="shared" si="13"/>
        <v>0.216853805309735</v>
      </c>
      <c r="T32" s="313">
        <f t="shared" si="13"/>
        <v>0.216853805309735</v>
      </c>
      <c r="U32" s="313">
        <f t="shared" si="13"/>
        <v>0.216853805309735</v>
      </c>
      <c r="V32" s="313">
        <f t="shared" si="13"/>
        <v>0.216853805309735</v>
      </c>
      <c r="W32" s="313">
        <f t="shared" si="13"/>
        <v>0.216853805309735</v>
      </c>
      <c r="X32" s="313">
        <f t="shared" si="13"/>
        <v>0.216853805309735</v>
      </c>
      <c r="Y32" s="313">
        <f t="shared" si="13"/>
        <v>0.216853805309735</v>
      </c>
      <c r="Z32" s="313">
        <f t="shared" si="13"/>
        <v>0.216853805309735</v>
      </c>
      <c r="AA32" s="313">
        <f t="shared" si="13"/>
        <v>0.216853805309735</v>
      </c>
      <c r="AB32" s="313">
        <f t="shared" si="13"/>
        <v>0.216853805309735</v>
      </c>
      <c r="AC32" s="313">
        <f t="shared" si="13"/>
        <v>0</v>
      </c>
      <c r="AD32" s="313">
        <f t="shared" si="13"/>
        <v>0</v>
      </c>
      <c r="AE32" s="313">
        <f t="shared" si="13"/>
        <v>0</v>
      </c>
      <c r="AF32" s="313">
        <f t="shared" si="13"/>
        <v>0</v>
      </c>
      <c r="AG32" s="313">
        <f t="shared" si="13"/>
        <v>0</v>
      </c>
    </row>
    <row r="33" spans="3:33">
      <c r="C33" s="314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</row>
    <row r="34" spans="3:33">
      <c r="C34" s="314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</row>
    <row r="35" spans="3:33">
      <c r="C35" s="311">
        <v>0.09</v>
      </c>
      <c r="D35" s="313" t="e">
        <f t="shared" ref="D35:AG35" si="14">+D12*0.6/(1+$C35)*$C35</f>
        <v>#REF!</v>
      </c>
      <c r="E35" s="313" t="e">
        <f t="shared" si="14"/>
        <v>#REF!</v>
      </c>
      <c r="F35" s="313" t="e">
        <f t="shared" si="14"/>
        <v>#REF!</v>
      </c>
      <c r="G35" s="313" t="e">
        <f t="shared" si="14"/>
        <v>#REF!</v>
      </c>
      <c r="H35" s="313" t="e">
        <f t="shared" si="14"/>
        <v>#REF!</v>
      </c>
      <c r="I35" s="313" t="e">
        <f t="shared" si="14"/>
        <v>#REF!</v>
      </c>
      <c r="J35" s="313" t="e">
        <f t="shared" si="14"/>
        <v>#REF!</v>
      </c>
      <c r="K35" s="313" t="e">
        <f t="shared" si="14"/>
        <v>#REF!</v>
      </c>
      <c r="L35" s="313" t="e">
        <f t="shared" si="14"/>
        <v>#REF!</v>
      </c>
      <c r="M35" s="313" t="e">
        <f t="shared" si="14"/>
        <v>#REF!</v>
      </c>
      <c r="N35" s="313" t="e">
        <f t="shared" si="14"/>
        <v>#REF!</v>
      </c>
      <c r="O35" s="313" t="e">
        <f t="shared" si="14"/>
        <v>#REF!</v>
      </c>
      <c r="P35" s="313" t="e">
        <f t="shared" si="14"/>
        <v>#REF!</v>
      </c>
      <c r="Q35" s="313" t="e">
        <f t="shared" si="14"/>
        <v>#REF!</v>
      </c>
      <c r="R35" s="313" t="e">
        <f t="shared" si="14"/>
        <v>#REF!</v>
      </c>
      <c r="S35" s="313" t="e">
        <f t="shared" si="14"/>
        <v>#REF!</v>
      </c>
      <c r="T35" s="313" t="e">
        <f t="shared" si="14"/>
        <v>#REF!</v>
      </c>
      <c r="U35" s="313" t="e">
        <f t="shared" si="14"/>
        <v>#REF!</v>
      </c>
      <c r="V35" s="313" t="e">
        <f t="shared" si="14"/>
        <v>#REF!</v>
      </c>
      <c r="W35" s="313" t="e">
        <f t="shared" si="14"/>
        <v>#REF!</v>
      </c>
      <c r="X35" s="313" t="e">
        <f t="shared" si="14"/>
        <v>#REF!</v>
      </c>
      <c r="Y35" s="313" t="e">
        <f t="shared" si="14"/>
        <v>#REF!</v>
      </c>
      <c r="Z35" s="313" t="e">
        <f t="shared" si="14"/>
        <v>#REF!</v>
      </c>
      <c r="AA35" s="313" t="e">
        <f t="shared" si="14"/>
        <v>#REF!</v>
      </c>
      <c r="AB35" s="313" t="e">
        <f t="shared" si="14"/>
        <v>#REF!</v>
      </c>
      <c r="AC35" s="313">
        <f t="shared" si="14"/>
        <v>0</v>
      </c>
      <c r="AD35" s="313">
        <f t="shared" si="14"/>
        <v>0</v>
      </c>
      <c r="AE35" s="313">
        <f t="shared" si="14"/>
        <v>0</v>
      </c>
      <c r="AF35" s="313">
        <f t="shared" si="14"/>
        <v>0</v>
      </c>
      <c r="AG35" s="313">
        <f t="shared" si="14"/>
        <v>0</v>
      </c>
    </row>
    <row r="36" spans="3:33">
      <c r="C36" s="314" t="s">
        <v>637</v>
      </c>
      <c r="D36" s="313" t="e">
        <f t="shared" ref="D36:AG36" si="15">SUM(D30:D35)</f>
        <v>#REF!</v>
      </c>
      <c r="E36" s="313" t="e">
        <f t="shared" si="15"/>
        <v>#REF!</v>
      </c>
      <c r="F36" s="313" t="e">
        <f t="shared" si="15"/>
        <v>#REF!</v>
      </c>
      <c r="G36" s="313" t="e">
        <f t="shared" si="15"/>
        <v>#REF!</v>
      </c>
      <c r="H36" s="313" t="e">
        <f t="shared" si="15"/>
        <v>#REF!</v>
      </c>
      <c r="I36" s="313" t="e">
        <f t="shared" si="15"/>
        <v>#REF!</v>
      </c>
      <c r="J36" s="313" t="e">
        <f t="shared" si="15"/>
        <v>#REF!</v>
      </c>
      <c r="K36" s="313" t="e">
        <f t="shared" si="15"/>
        <v>#REF!</v>
      </c>
      <c r="L36" s="313" t="e">
        <f t="shared" si="15"/>
        <v>#REF!</v>
      </c>
      <c r="M36" s="313" t="e">
        <f t="shared" si="15"/>
        <v>#REF!</v>
      </c>
      <c r="N36" s="313" t="e">
        <f t="shared" si="15"/>
        <v>#REF!</v>
      </c>
      <c r="O36" s="313" t="e">
        <f t="shared" si="15"/>
        <v>#REF!</v>
      </c>
      <c r="P36" s="313" t="e">
        <f t="shared" si="15"/>
        <v>#REF!</v>
      </c>
      <c r="Q36" s="313" t="e">
        <f t="shared" si="15"/>
        <v>#REF!</v>
      </c>
      <c r="R36" s="313" t="e">
        <f t="shared" si="15"/>
        <v>#REF!</v>
      </c>
      <c r="S36" s="313" t="e">
        <f t="shared" si="15"/>
        <v>#REF!</v>
      </c>
      <c r="T36" s="313" t="e">
        <f t="shared" si="15"/>
        <v>#REF!</v>
      </c>
      <c r="U36" s="313" t="e">
        <f t="shared" si="15"/>
        <v>#REF!</v>
      </c>
      <c r="V36" s="313" t="e">
        <f t="shared" si="15"/>
        <v>#REF!</v>
      </c>
      <c r="W36" s="313" t="e">
        <f t="shared" si="15"/>
        <v>#REF!</v>
      </c>
      <c r="X36" s="313" t="e">
        <f t="shared" si="15"/>
        <v>#REF!</v>
      </c>
      <c r="Y36" s="313" t="e">
        <f t="shared" si="15"/>
        <v>#REF!</v>
      </c>
      <c r="Z36" s="313" t="e">
        <f t="shared" si="15"/>
        <v>#REF!</v>
      </c>
      <c r="AA36" s="313" t="e">
        <f t="shared" si="15"/>
        <v>#REF!</v>
      </c>
      <c r="AB36" s="313" t="e">
        <f t="shared" si="15"/>
        <v>#REF!</v>
      </c>
      <c r="AC36" s="313">
        <f t="shared" si="15"/>
        <v>0</v>
      </c>
      <c r="AD36" s="313">
        <f t="shared" si="15"/>
        <v>0</v>
      </c>
      <c r="AE36" s="313">
        <f t="shared" si="15"/>
        <v>0</v>
      </c>
      <c r="AF36" s="313">
        <f t="shared" si="15"/>
        <v>0</v>
      </c>
      <c r="AG36" s="313">
        <f t="shared" si="15"/>
        <v>0</v>
      </c>
    </row>
    <row r="37" spans="3:33">
      <c r="C37" s="314" t="s">
        <v>638</v>
      </c>
      <c r="D37" s="313">
        <f>损益表!D6/(1+$C30)*$C30</f>
        <v>906.51185840708</v>
      </c>
      <c r="E37" s="313">
        <f>损益表!E6/(1+$C30)*$C30</f>
        <v>1019.82584070796</v>
      </c>
      <c r="F37" s="313">
        <f>损益表!F6/(1+$C30)*$C30</f>
        <v>1133.13982300885</v>
      </c>
      <c r="G37" s="313">
        <f>损益表!G6/(1+$C30)*$C30</f>
        <v>1133.13982300885</v>
      </c>
      <c r="H37" s="313">
        <f>损益表!H6/(1+$C30)*$C30</f>
        <v>1133.13982300885</v>
      </c>
      <c r="I37" s="313">
        <f>损益表!I6/(1+$C30)*$C30</f>
        <v>1133.13982300885</v>
      </c>
      <c r="J37" s="313">
        <f>损益表!J6/(1+$C30)*$C30</f>
        <v>1133.13982300885</v>
      </c>
      <c r="K37" s="313">
        <f>损益表!K6/(1+$C30)*$C30</f>
        <v>1133.13982300885</v>
      </c>
      <c r="L37" s="313">
        <f>损益表!L6/(1+$C30)*$C30</f>
        <v>1133.13982300885</v>
      </c>
      <c r="M37" s="313">
        <f>损益表!M6/(1+$C30)*$C30</f>
        <v>1133.13982300885</v>
      </c>
      <c r="N37" s="313">
        <f>损益表!N6/(1+$C30)*$C30</f>
        <v>1133.13982300885</v>
      </c>
      <c r="O37" s="313">
        <f>损益表!O6/(1+$C30)*$C30</f>
        <v>1133.13982300885</v>
      </c>
      <c r="P37" s="313">
        <f>损益表!P6/(1+$C30)*$C30</f>
        <v>1133.13982300885</v>
      </c>
      <c r="Q37" s="313">
        <f>损益表!Q6/(1+$C30)*$C30</f>
        <v>1133.13982300885</v>
      </c>
      <c r="R37" s="313">
        <f>损益表!R6/(1+$C30)*$C30</f>
        <v>1133.13982300885</v>
      </c>
      <c r="S37" s="313">
        <f>损益表!S6/(1+$C30)*$C30</f>
        <v>1133.13982300885</v>
      </c>
      <c r="T37" s="313">
        <f>损益表!T6/(1+$C30)*$C30</f>
        <v>1133.13982300885</v>
      </c>
      <c r="U37" s="313">
        <f>损益表!U6/(1+$C30)*$C30</f>
        <v>1133.13982300885</v>
      </c>
      <c r="V37" s="313">
        <f>损益表!V6/(1+$C30)*$C30</f>
        <v>1133.13982300885</v>
      </c>
      <c r="W37" s="313">
        <f>损益表!W6/(1+$C30)*$C30</f>
        <v>1133.13982300885</v>
      </c>
      <c r="X37" s="313">
        <f>损益表!X6/(1+$C30)*$C30</f>
        <v>1133.13982300885</v>
      </c>
      <c r="Y37" s="313">
        <f>损益表!Y6/(1+$C30)*$C30</f>
        <v>1133.13982300885</v>
      </c>
      <c r="Z37" s="313">
        <f>损益表!Z6/(1+$C30)*$C30</f>
        <v>1133.13982300885</v>
      </c>
      <c r="AA37" s="313">
        <f>损益表!AA6/(1+$C30)*$C30</f>
        <v>1133.13982300885</v>
      </c>
      <c r="AB37" s="313">
        <f>损益表!AB6/(1+$C30)*$C30</f>
        <v>1133.13982300885</v>
      </c>
      <c r="AC37" s="313">
        <f>损益表!AC6/(1+$C30)*$C30</f>
        <v>0</v>
      </c>
      <c r="AD37" s="313">
        <f>损益表!AD6/(1+$C30)*$C30</f>
        <v>0</v>
      </c>
      <c r="AE37" s="313">
        <f>损益表!AE6/(1+$C30)*$C30</f>
        <v>0</v>
      </c>
      <c r="AF37" s="313">
        <f>损益表!AF6/(1+$C30)*$C30</f>
        <v>0</v>
      </c>
      <c r="AG37" s="313">
        <f>损益表!AG6/(1+$C30)*$C30</f>
        <v>0</v>
      </c>
    </row>
    <row r="38" spans="3:33">
      <c r="C38" s="314" t="s">
        <v>639</v>
      </c>
      <c r="D38" s="313" t="e">
        <f t="shared" ref="D38:AG38" si="16">+D37-D36</f>
        <v>#REF!</v>
      </c>
      <c r="E38" s="313" t="e">
        <f t="shared" si="16"/>
        <v>#REF!</v>
      </c>
      <c r="F38" s="313" t="e">
        <f t="shared" si="16"/>
        <v>#REF!</v>
      </c>
      <c r="G38" s="313" t="e">
        <f t="shared" si="16"/>
        <v>#REF!</v>
      </c>
      <c r="H38" s="313" t="e">
        <f t="shared" si="16"/>
        <v>#REF!</v>
      </c>
      <c r="I38" s="313" t="e">
        <f t="shared" si="16"/>
        <v>#REF!</v>
      </c>
      <c r="J38" s="313" t="e">
        <f t="shared" si="16"/>
        <v>#REF!</v>
      </c>
      <c r="K38" s="313" t="e">
        <f t="shared" si="16"/>
        <v>#REF!</v>
      </c>
      <c r="L38" s="313" t="e">
        <f t="shared" si="16"/>
        <v>#REF!</v>
      </c>
      <c r="M38" s="313" t="e">
        <f t="shared" si="16"/>
        <v>#REF!</v>
      </c>
      <c r="N38" s="313" t="e">
        <f t="shared" si="16"/>
        <v>#REF!</v>
      </c>
      <c r="O38" s="313" t="e">
        <f t="shared" si="16"/>
        <v>#REF!</v>
      </c>
      <c r="P38" s="313" t="e">
        <f t="shared" si="16"/>
        <v>#REF!</v>
      </c>
      <c r="Q38" s="313" t="e">
        <f t="shared" si="16"/>
        <v>#REF!</v>
      </c>
      <c r="R38" s="313" t="e">
        <f t="shared" si="16"/>
        <v>#REF!</v>
      </c>
      <c r="S38" s="313" t="e">
        <f t="shared" si="16"/>
        <v>#REF!</v>
      </c>
      <c r="T38" s="313" t="e">
        <f t="shared" si="16"/>
        <v>#REF!</v>
      </c>
      <c r="U38" s="313" t="e">
        <f t="shared" si="16"/>
        <v>#REF!</v>
      </c>
      <c r="V38" s="313" t="e">
        <f t="shared" si="16"/>
        <v>#REF!</v>
      </c>
      <c r="W38" s="313" t="e">
        <f t="shared" si="16"/>
        <v>#REF!</v>
      </c>
      <c r="X38" s="313" t="e">
        <f t="shared" si="16"/>
        <v>#REF!</v>
      </c>
      <c r="Y38" s="313" t="e">
        <f t="shared" si="16"/>
        <v>#REF!</v>
      </c>
      <c r="Z38" s="313" t="e">
        <f t="shared" si="16"/>
        <v>#REF!</v>
      </c>
      <c r="AA38" s="313" t="e">
        <f t="shared" si="16"/>
        <v>#REF!</v>
      </c>
      <c r="AB38" s="313" t="e">
        <f t="shared" si="16"/>
        <v>#REF!</v>
      </c>
      <c r="AC38" s="313">
        <f t="shared" si="16"/>
        <v>0</v>
      </c>
      <c r="AD38" s="313">
        <f t="shared" si="16"/>
        <v>0</v>
      </c>
      <c r="AE38" s="313">
        <f t="shared" si="16"/>
        <v>0</v>
      </c>
      <c r="AF38" s="313">
        <f t="shared" si="16"/>
        <v>0</v>
      </c>
      <c r="AG38" s="313">
        <f t="shared" si="16"/>
        <v>0</v>
      </c>
    </row>
    <row r="39" spans="3:33">
      <c r="C39" s="314" t="s">
        <v>640</v>
      </c>
      <c r="D39" s="313">
        <f>+现金流量!J8*3%</f>
        <v>236.3904</v>
      </c>
      <c r="E39" s="313">
        <f>+现金流量!K8*3%</f>
        <v>265.9392</v>
      </c>
      <c r="F39" s="313">
        <f>+现金流量!L8*3%</f>
        <v>295.488</v>
      </c>
      <c r="G39" s="313">
        <f>+现金流量!M8*3%</f>
        <v>295.488</v>
      </c>
      <c r="H39" s="313">
        <f>+现金流量!N8*3%</f>
        <v>295.488</v>
      </c>
      <c r="I39" s="313">
        <f>+现金流量!O8*3%</f>
        <v>295.488</v>
      </c>
      <c r="J39" s="313">
        <f>+现金流量!P8*3%</f>
        <v>295.488</v>
      </c>
      <c r="K39" s="313">
        <f>+现金流量!Q8*3%</f>
        <v>295.488</v>
      </c>
      <c r="L39" s="313">
        <f>+现金流量!R8*3%</f>
        <v>295.488</v>
      </c>
      <c r="M39" s="313">
        <f>+现金流量!S8*3%</f>
        <v>295.488</v>
      </c>
      <c r="N39" s="313">
        <f>+现金流量!T8*3%</f>
        <v>295.488</v>
      </c>
      <c r="O39" s="313">
        <f>+现金流量!U8*3%</f>
        <v>295.488</v>
      </c>
      <c r="P39" s="313">
        <f>+现金流量!V8*3%</f>
        <v>295.488</v>
      </c>
      <c r="Q39" s="313">
        <f>+现金流量!W8*3%</f>
        <v>295.488</v>
      </c>
      <c r="R39" s="313">
        <f>+现金流量!X8*3%</f>
        <v>295.488</v>
      </c>
      <c r="S39" s="313">
        <f>+现金流量!Y8*3%</f>
        <v>295.488</v>
      </c>
      <c r="T39" s="313">
        <f>+现金流量!Z8*3%</f>
        <v>295.488</v>
      </c>
      <c r="U39" s="313">
        <f>+现金流量!AA8*3%</f>
        <v>295.488</v>
      </c>
      <c r="V39" s="313">
        <f>+现金流量!AB8*3%</f>
        <v>295.488</v>
      </c>
      <c r="W39" s="313">
        <f>+现金流量!AC8*3%</f>
        <v>295.488</v>
      </c>
      <c r="X39" s="313">
        <f>+现金流量!AD8*3%</f>
        <v>295.488</v>
      </c>
      <c r="Y39" s="313">
        <f>+现金流量!AE8*3%</f>
        <v>295.488</v>
      </c>
      <c r="Z39" s="313">
        <f>+现金流量!AF8*3%</f>
        <v>295.488</v>
      </c>
      <c r="AA39" s="313">
        <f>+现金流量!AG8*3%</f>
        <v>295.488</v>
      </c>
      <c r="AB39" s="313">
        <f>+现金流量!AH8*3%</f>
        <v>295.488</v>
      </c>
      <c r="AC39" s="313">
        <f>+AC38*$C$40+AC38*12%</f>
        <v>0</v>
      </c>
      <c r="AD39" s="313">
        <f>+AD38*$C$40+AD38*12%</f>
        <v>0</v>
      </c>
      <c r="AE39" s="313">
        <f>+AE38*$C$40+AE38*12%</f>
        <v>0</v>
      </c>
      <c r="AF39" s="313">
        <f>+AF38*$C$40+AF38*12%</f>
        <v>0</v>
      </c>
      <c r="AG39" s="313">
        <f>+AG38*$C$40+AG38*12%</f>
        <v>0</v>
      </c>
    </row>
    <row r="40" spans="3:23">
      <c r="C40" s="315">
        <v>0.3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</row>
    <row r="41" spans="3:23">
      <c r="C41" s="247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</row>
    <row r="42" spans="3:23">
      <c r="C42" s="247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</row>
    <row r="43" spans="3:23">
      <c r="C43" s="247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</row>
    <row r="44" spans="3:23">
      <c r="C44" s="247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</row>
  </sheetData>
  <mergeCells count="5">
    <mergeCell ref="B1:AH1"/>
    <mergeCell ref="B2:AH2"/>
    <mergeCell ref="D3:W3"/>
    <mergeCell ref="A17:A18"/>
    <mergeCell ref="AH3:AH4"/>
  </mergeCells>
  <printOptions horizontalCentered="true"/>
  <pageMargins left="0.275590551181102" right="0.551181102362205" top="2.04724409448819" bottom="0.196850393700787" header="1.61417322834646" footer="0.15748031496063"/>
  <pageSetup paperSize="9" scale="79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O79"/>
  <sheetViews>
    <sheetView showZeros="0" view="pageBreakPreview" zoomScaleNormal="100" zoomScaleSheetLayoutView="100" workbookViewId="0">
      <selection activeCell="H113" sqref="H113"/>
    </sheetView>
  </sheetViews>
  <sheetFormatPr defaultColWidth="10" defaultRowHeight="14.25"/>
  <cols>
    <col min="1" max="1" width="2.125" style="1" customWidth="true"/>
    <col min="2" max="2" width="3.75" style="2" customWidth="true"/>
    <col min="3" max="3" width="14.125" style="2" customWidth="true"/>
    <col min="4" max="4" width="9.25" style="120" hidden="true" customWidth="true" outlineLevel="1"/>
    <col min="5" max="5" width="9.875" style="120" hidden="true" customWidth="true" outlineLevel="1"/>
    <col min="6" max="7" width="6.625" style="120" hidden="true" customWidth="true" outlineLevel="1"/>
    <col min="8" max="8" width="6.625" style="120" customWidth="true" collapsed="true"/>
    <col min="9" max="9" width="6.5" style="120" customWidth="true"/>
    <col min="10" max="10" width="6.875" style="120" customWidth="true"/>
    <col min="11" max="12" width="6.625" style="120" customWidth="true"/>
    <col min="13" max="13" width="6.875" style="120" customWidth="true"/>
    <col min="14" max="14" width="6" style="120" customWidth="true"/>
    <col min="15" max="15" width="6.5" style="120" customWidth="true"/>
    <col min="16" max="16" width="6" style="120" customWidth="true"/>
    <col min="17" max="17" width="6.25" style="120" customWidth="true"/>
    <col min="18" max="18" width="5.875" style="120" customWidth="true"/>
    <col min="19" max="19" width="5.75" style="120" customWidth="true"/>
    <col min="20" max="20" width="5.875" style="120" customWidth="true"/>
    <col min="21" max="21" width="6" style="120" customWidth="true"/>
    <col min="22" max="22" width="5.75" style="120" customWidth="true"/>
    <col min="23" max="23" width="6" style="120" customWidth="true"/>
    <col min="24" max="26" width="5.75" style="120" customWidth="true"/>
    <col min="27" max="27" width="5.875" style="120" customWidth="true"/>
    <col min="28" max="28" width="6" style="120" customWidth="true"/>
    <col min="29" max="29" width="5.75" style="120" customWidth="true"/>
    <col min="30" max="34" width="6" style="120" customWidth="true"/>
    <col min="35" max="39" width="6" style="120" hidden="true" customWidth="true" outlineLevel="1"/>
    <col min="40" max="40" width="6.375" style="120" customWidth="true" collapsed="true"/>
    <col min="41" max="41" width="6.5" style="1" hidden="true" customWidth="true"/>
    <col min="42" max="16384" width="10" style="1"/>
  </cols>
  <sheetData>
    <row r="1" ht="29.25" customHeight="true" spans="2:40">
      <c r="B1" s="122" t="s">
        <v>641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ht="15.95" customHeight="true" spans="2:40">
      <c r="B2" s="237" t="s">
        <v>617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</row>
    <row r="3" ht="0.75" hidden="true" customHeight="true" spans="2:39">
      <c r="B3" s="160"/>
      <c r="C3" s="160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</row>
    <row r="4" spans="2:40">
      <c r="B4" s="125" t="s">
        <v>493</v>
      </c>
      <c r="C4" s="126" t="s">
        <v>618</v>
      </c>
      <c r="D4" s="41" t="s">
        <v>512</v>
      </c>
      <c r="E4" s="171"/>
      <c r="F4" s="171"/>
      <c r="G4" s="171"/>
      <c r="H4" s="171"/>
      <c r="I4" s="174"/>
      <c r="J4" s="41" t="s">
        <v>621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4"/>
      <c r="AN4" s="125" t="s">
        <v>305</v>
      </c>
    </row>
    <row r="5" spans="2:40">
      <c r="B5" s="272" t="s">
        <v>496</v>
      </c>
      <c r="C5" s="8" t="s">
        <v>475</v>
      </c>
      <c r="D5" s="9">
        <f t="shared" ref="D5:H5" si="0">E5-1</f>
        <v>-3</v>
      </c>
      <c r="E5" s="9">
        <f t="shared" si="0"/>
        <v>-2</v>
      </c>
      <c r="F5" s="9">
        <f t="shared" si="0"/>
        <v>-1</v>
      </c>
      <c r="G5" s="9">
        <f t="shared" si="0"/>
        <v>0</v>
      </c>
      <c r="H5" s="9">
        <f t="shared" si="0"/>
        <v>1</v>
      </c>
      <c r="I5" s="9">
        <f>'总表 (2)'!D42</f>
        <v>2</v>
      </c>
      <c r="J5" s="276">
        <f t="shared" ref="J5:AM5" si="1">I5+1</f>
        <v>3</v>
      </c>
      <c r="K5" s="277">
        <f t="shared" si="1"/>
        <v>4</v>
      </c>
      <c r="L5" s="277">
        <f t="shared" si="1"/>
        <v>5</v>
      </c>
      <c r="M5" s="277">
        <f t="shared" si="1"/>
        <v>6</v>
      </c>
      <c r="N5" s="277">
        <f t="shared" si="1"/>
        <v>7</v>
      </c>
      <c r="O5" s="277">
        <f t="shared" si="1"/>
        <v>8</v>
      </c>
      <c r="P5" s="277">
        <f t="shared" si="1"/>
        <v>9</v>
      </c>
      <c r="Q5" s="277">
        <f t="shared" si="1"/>
        <v>10</v>
      </c>
      <c r="R5" s="277">
        <f t="shared" si="1"/>
        <v>11</v>
      </c>
      <c r="S5" s="277">
        <f t="shared" si="1"/>
        <v>12</v>
      </c>
      <c r="T5" s="277">
        <f t="shared" si="1"/>
        <v>13</v>
      </c>
      <c r="U5" s="277">
        <f t="shared" si="1"/>
        <v>14</v>
      </c>
      <c r="V5" s="277">
        <f t="shared" si="1"/>
        <v>15</v>
      </c>
      <c r="W5" s="277">
        <f t="shared" si="1"/>
        <v>16</v>
      </c>
      <c r="X5" s="277">
        <f t="shared" si="1"/>
        <v>17</v>
      </c>
      <c r="Y5" s="277">
        <f t="shared" si="1"/>
        <v>18</v>
      </c>
      <c r="Z5" s="277">
        <f t="shared" si="1"/>
        <v>19</v>
      </c>
      <c r="AA5" s="277">
        <f t="shared" si="1"/>
        <v>20</v>
      </c>
      <c r="AB5" s="277">
        <f t="shared" si="1"/>
        <v>21</v>
      </c>
      <c r="AC5" s="283">
        <f t="shared" si="1"/>
        <v>22</v>
      </c>
      <c r="AD5" s="283">
        <f t="shared" si="1"/>
        <v>23</v>
      </c>
      <c r="AE5" s="283">
        <f t="shared" si="1"/>
        <v>24</v>
      </c>
      <c r="AF5" s="283">
        <f t="shared" si="1"/>
        <v>25</v>
      </c>
      <c r="AG5" s="283">
        <f t="shared" si="1"/>
        <v>26</v>
      </c>
      <c r="AH5" s="283">
        <f t="shared" si="1"/>
        <v>27</v>
      </c>
      <c r="AI5" s="283">
        <f t="shared" si="1"/>
        <v>28</v>
      </c>
      <c r="AJ5" s="283">
        <f t="shared" si="1"/>
        <v>29</v>
      </c>
      <c r="AK5" s="283">
        <f t="shared" si="1"/>
        <v>30</v>
      </c>
      <c r="AL5" s="283">
        <f t="shared" si="1"/>
        <v>31</v>
      </c>
      <c r="AM5" s="283">
        <f t="shared" si="1"/>
        <v>32</v>
      </c>
      <c r="AN5" s="127"/>
    </row>
    <row r="6" spans="2:40">
      <c r="B6" s="11"/>
      <c r="C6" s="11" t="s">
        <v>630</v>
      </c>
      <c r="D6" s="12"/>
      <c r="E6" s="12"/>
      <c r="F6" s="12"/>
      <c r="G6" s="12"/>
      <c r="H6" s="25"/>
      <c r="I6" s="193"/>
      <c r="J6" s="194">
        <f>IF('总表 (2)'!$D46+'总表 (2)'!$D48=0,100%,80%)</f>
        <v>0.8</v>
      </c>
      <c r="K6" s="194">
        <f>IF('总表 (2)'!$D46+'总表 (2)'!$D48=0,100%,90%)</f>
        <v>0.9</v>
      </c>
      <c r="L6" s="194">
        <v>1</v>
      </c>
      <c r="M6" s="194">
        <v>1</v>
      </c>
      <c r="N6" s="194">
        <v>1</v>
      </c>
      <c r="O6" s="194">
        <v>1</v>
      </c>
      <c r="P6" s="194">
        <v>1</v>
      </c>
      <c r="Q6" s="194">
        <f t="shared" ref="Q6:AM6" si="2">IF(Q5&gt;zq,0,100%)</f>
        <v>1</v>
      </c>
      <c r="R6" s="194">
        <f t="shared" si="2"/>
        <v>1</v>
      </c>
      <c r="S6" s="194">
        <f t="shared" si="2"/>
        <v>1</v>
      </c>
      <c r="T6" s="194">
        <f t="shared" si="2"/>
        <v>1</v>
      </c>
      <c r="U6" s="194">
        <f t="shared" si="2"/>
        <v>1</v>
      </c>
      <c r="V6" s="194">
        <f t="shared" si="2"/>
        <v>1</v>
      </c>
      <c r="W6" s="194">
        <f t="shared" si="2"/>
        <v>1</v>
      </c>
      <c r="X6" s="194">
        <f t="shared" si="2"/>
        <v>1</v>
      </c>
      <c r="Y6" s="194">
        <f t="shared" si="2"/>
        <v>1</v>
      </c>
      <c r="Z6" s="194">
        <f t="shared" si="2"/>
        <v>1</v>
      </c>
      <c r="AA6" s="194">
        <f t="shared" si="2"/>
        <v>1</v>
      </c>
      <c r="AB6" s="194">
        <f t="shared" si="2"/>
        <v>1</v>
      </c>
      <c r="AC6" s="194">
        <f t="shared" si="2"/>
        <v>1</v>
      </c>
      <c r="AD6" s="194">
        <f t="shared" si="2"/>
        <v>1</v>
      </c>
      <c r="AE6" s="194">
        <f t="shared" si="2"/>
        <v>1</v>
      </c>
      <c r="AF6" s="194">
        <f t="shared" si="2"/>
        <v>1</v>
      </c>
      <c r="AG6" s="194">
        <f t="shared" si="2"/>
        <v>1</v>
      </c>
      <c r="AH6" s="194">
        <f t="shared" si="2"/>
        <v>1</v>
      </c>
      <c r="AI6" s="194">
        <f t="shared" si="2"/>
        <v>0</v>
      </c>
      <c r="AJ6" s="194">
        <f t="shared" si="2"/>
        <v>0</v>
      </c>
      <c r="AK6" s="194">
        <f t="shared" si="2"/>
        <v>0</v>
      </c>
      <c r="AL6" s="194">
        <f t="shared" si="2"/>
        <v>0</v>
      </c>
      <c r="AM6" s="194">
        <f t="shared" si="2"/>
        <v>0</v>
      </c>
      <c r="AN6" s="199"/>
    </row>
    <row r="7" spans="2:40">
      <c r="B7" s="239">
        <v>1</v>
      </c>
      <c r="C7" s="14" t="s">
        <v>642</v>
      </c>
      <c r="D7" s="132"/>
      <c r="E7" s="132"/>
      <c r="F7" s="146"/>
      <c r="G7" s="146"/>
      <c r="H7" s="250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</row>
    <row r="8" ht="16.5" customHeight="true" spans="2:41">
      <c r="B8" s="191">
        <v>1.1</v>
      </c>
      <c r="C8" s="240" t="s">
        <v>643</v>
      </c>
      <c r="D8" s="132"/>
      <c r="E8" s="132"/>
      <c r="F8" s="146"/>
      <c r="G8" s="146"/>
      <c r="H8" s="250"/>
      <c r="I8" s="198"/>
      <c r="J8" s="198">
        <f>损益表!D6*AO8</f>
        <v>7879.68</v>
      </c>
      <c r="K8" s="198">
        <f>损益表!E6*$AO$8</f>
        <v>8864.64</v>
      </c>
      <c r="L8" s="198">
        <f>损益表!F6*$AO$8</f>
        <v>9849.6</v>
      </c>
      <c r="M8" s="198">
        <f>损益表!G6*$AO$8</f>
        <v>9849.6</v>
      </c>
      <c r="N8" s="198">
        <f>损益表!H6*$AO$8</f>
        <v>9849.6</v>
      </c>
      <c r="O8" s="198">
        <f>损益表!I6*$AO$8</f>
        <v>9849.6</v>
      </c>
      <c r="P8" s="198">
        <f>损益表!J6*$AO$8</f>
        <v>9849.6</v>
      </c>
      <c r="Q8" s="198">
        <f>损益表!K6*$AO$8</f>
        <v>9849.6</v>
      </c>
      <c r="R8" s="198">
        <f>损益表!L6*$AO$8</f>
        <v>9849.6</v>
      </c>
      <c r="S8" s="198">
        <f>损益表!M6*$AO$8</f>
        <v>9849.6</v>
      </c>
      <c r="T8" s="198">
        <f>损益表!N6*$AO$8</f>
        <v>9849.6</v>
      </c>
      <c r="U8" s="198">
        <f>损益表!O6*$AO$8</f>
        <v>9849.6</v>
      </c>
      <c r="V8" s="198">
        <f>损益表!P6*$AO$8</f>
        <v>9849.6</v>
      </c>
      <c r="W8" s="198">
        <f>损益表!Q6*$AO$8</f>
        <v>9849.6</v>
      </c>
      <c r="X8" s="198">
        <f>损益表!R6*$AO$8</f>
        <v>9849.6</v>
      </c>
      <c r="Y8" s="198">
        <f>损益表!S6*$AO$8</f>
        <v>9849.6</v>
      </c>
      <c r="Z8" s="198">
        <f>损益表!T6*$AO$8</f>
        <v>9849.6</v>
      </c>
      <c r="AA8" s="198">
        <f>损益表!U6*$AO$8</f>
        <v>9849.6</v>
      </c>
      <c r="AB8" s="198">
        <f>损益表!V6*$AO$8</f>
        <v>9849.6</v>
      </c>
      <c r="AC8" s="198">
        <f>损益表!W6*$AO$8</f>
        <v>9849.6</v>
      </c>
      <c r="AD8" s="198">
        <f>损益表!X6*$AO$8</f>
        <v>9849.6</v>
      </c>
      <c r="AE8" s="198">
        <f>损益表!Y6*$AO$8</f>
        <v>9849.6</v>
      </c>
      <c r="AF8" s="198">
        <f>损益表!Z6*$AO$8</f>
        <v>9849.6</v>
      </c>
      <c r="AG8" s="198">
        <f>损益表!AA6*$AO$8</f>
        <v>9849.6</v>
      </c>
      <c r="AH8" s="198">
        <f>损益表!AB6*$AO$8</f>
        <v>9849.6</v>
      </c>
      <c r="AI8" s="198">
        <f>损益表!AC6*$AO$8</f>
        <v>0</v>
      </c>
      <c r="AJ8" s="198">
        <f>损益表!AD6*$AO$8</f>
        <v>0</v>
      </c>
      <c r="AK8" s="198">
        <f>损益表!AE6*$AO$8</f>
        <v>0</v>
      </c>
      <c r="AL8" s="198">
        <f>损益表!AF6*$AO$8</f>
        <v>0</v>
      </c>
      <c r="AM8" s="198">
        <f>损益表!AG6*$AO$8</f>
        <v>0</v>
      </c>
      <c r="AN8" s="198">
        <f t="shared" ref="AN8:AN13" si="3">SUM(G8:AM8)</f>
        <v>243285.12</v>
      </c>
      <c r="AO8" s="1">
        <v>1</v>
      </c>
    </row>
    <row r="9" spans="2:40">
      <c r="B9" s="191">
        <v>1.2</v>
      </c>
      <c r="C9" s="240" t="s">
        <v>644</v>
      </c>
      <c r="D9" s="132"/>
      <c r="E9" s="132"/>
      <c r="F9" s="146"/>
      <c r="G9" s="146"/>
      <c r="H9" s="250"/>
      <c r="I9" s="198"/>
      <c r="J9" s="198">
        <f>IF(J5=zq,成本!$F$36,0)</f>
        <v>0</v>
      </c>
      <c r="K9" s="198">
        <f>IF(K5=zq,成本!$F$36,0)</f>
        <v>0</v>
      </c>
      <c r="L9" s="198">
        <f>IF(L5=zq,成本!$F$36,0)</f>
        <v>0</v>
      </c>
      <c r="M9" s="198">
        <f>IF(M5=zq,成本!$F$36,0)</f>
        <v>0</v>
      </c>
      <c r="N9" s="198">
        <f>IF(N5=zq,成本!$F$36,0)</f>
        <v>0</v>
      </c>
      <c r="O9" s="198">
        <f>IF(O5=zq,成本!$F$36,0)</f>
        <v>0</v>
      </c>
      <c r="P9" s="198">
        <f>IF(P5=zq,成本!$F$36,0)</f>
        <v>0</v>
      </c>
      <c r="Q9" s="198">
        <f>IF(Q5=zq,成本!$F$36,0)</f>
        <v>0</v>
      </c>
      <c r="R9" s="198">
        <f>IF(R5=zq,成本!$F$36,0)</f>
        <v>0</v>
      </c>
      <c r="S9" s="198">
        <f>IF(S5=zq,成本!$F$36,0)</f>
        <v>0</v>
      </c>
      <c r="T9" s="198">
        <f>IF(T5=zq,成本!$F$36,0)</f>
        <v>0</v>
      </c>
      <c r="U9" s="198">
        <f>IF(U5=zq,成本!$F$36,0)</f>
        <v>0</v>
      </c>
      <c r="V9" s="198">
        <f>IF(V5=zq,成本!$F$36,0)</f>
        <v>0</v>
      </c>
      <c r="W9" s="198">
        <f>IF(W5=zq,成本!$F$36,0)</f>
        <v>0</v>
      </c>
      <c r="X9" s="198">
        <f>IF(X5=zq,成本!$F$36,0)</f>
        <v>0</v>
      </c>
      <c r="Y9" s="198">
        <f>IF(Y5=zq,成本!$F$36,0)</f>
        <v>0</v>
      </c>
      <c r="Z9" s="198">
        <f>IF(Z5=zq,成本!$F$36,0)</f>
        <v>0</v>
      </c>
      <c r="AA9" s="198">
        <f>IF(AA5=zq,成本!$F$36,0)</f>
        <v>0</v>
      </c>
      <c r="AB9" s="198">
        <f>IF(AB5=zq,成本!$F$36,0)</f>
        <v>0</v>
      </c>
      <c r="AC9" s="198">
        <f>IF(AC5=zq,成本!$F$36,0)</f>
        <v>0</v>
      </c>
      <c r="AD9" s="198">
        <f>IF(AD5=zq,成本!$F$36,0)</f>
        <v>0</v>
      </c>
      <c r="AE9" s="198">
        <f>IF(AE5=zq,成本!$F$36,0)</f>
        <v>0</v>
      </c>
      <c r="AF9" s="198">
        <f>IF(AF5=zq,成本!$F$36,0)</f>
        <v>0</v>
      </c>
      <c r="AG9" s="198">
        <f>IF(AG5=zq,成本!$F$36,0)</f>
        <v>0</v>
      </c>
      <c r="AH9" s="198" t="e">
        <f>IF(AH5=zq,成本!$F$36,0)</f>
        <v>#REF!</v>
      </c>
      <c r="AI9" s="198">
        <f>IF(AI5=zq,成本!$F$36,0)</f>
        <v>0</v>
      </c>
      <c r="AJ9" s="198">
        <f>IF(AJ5=zq,成本!$F$36,0)</f>
        <v>0</v>
      </c>
      <c r="AK9" s="198">
        <f>IF(AK5=zq,成本!$F$36,0)</f>
        <v>0</v>
      </c>
      <c r="AL9" s="198">
        <f>IF(AL5=zq,成本!$F$36,0)</f>
        <v>0</v>
      </c>
      <c r="AM9" s="198">
        <f>IF(AM5=zq,成本!$F$36,0)</f>
        <v>0</v>
      </c>
      <c r="AN9" s="198" t="e">
        <f t="shared" si="3"/>
        <v>#REF!</v>
      </c>
    </row>
    <row r="10" spans="2:40">
      <c r="B10" s="191">
        <v>1.3</v>
      </c>
      <c r="C10" s="240" t="s">
        <v>645</v>
      </c>
      <c r="D10" s="132"/>
      <c r="E10" s="132"/>
      <c r="F10" s="146"/>
      <c r="G10" s="146"/>
      <c r="H10" s="250"/>
      <c r="I10" s="198"/>
      <c r="J10" s="198">
        <f t="shared" ref="J10:AM10" si="4">IF(J5=zq,$AN$16,0)</f>
        <v>0</v>
      </c>
      <c r="K10" s="198">
        <f t="shared" si="4"/>
        <v>0</v>
      </c>
      <c r="L10" s="198">
        <f t="shared" si="4"/>
        <v>0</v>
      </c>
      <c r="M10" s="198">
        <f t="shared" si="4"/>
        <v>0</v>
      </c>
      <c r="N10" s="198">
        <f t="shared" si="4"/>
        <v>0</v>
      </c>
      <c r="O10" s="198">
        <f t="shared" si="4"/>
        <v>0</v>
      </c>
      <c r="P10" s="198">
        <f t="shared" si="4"/>
        <v>0</v>
      </c>
      <c r="Q10" s="198">
        <f t="shared" si="4"/>
        <v>0</v>
      </c>
      <c r="R10" s="198">
        <f t="shared" si="4"/>
        <v>0</v>
      </c>
      <c r="S10" s="198">
        <f t="shared" si="4"/>
        <v>0</v>
      </c>
      <c r="T10" s="198">
        <f t="shared" si="4"/>
        <v>0</v>
      </c>
      <c r="U10" s="198">
        <f t="shared" si="4"/>
        <v>0</v>
      </c>
      <c r="V10" s="198">
        <f t="shared" si="4"/>
        <v>0</v>
      </c>
      <c r="W10" s="198">
        <f t="shared" si="4"/>
        <v>0</v>
      </c>
      <c r="X10" s="198">
        <f t="shared" si="4"/>
        <v>0</v>
      </c>
      <c r="Y10" s="198">
        <f t="shared" si="4"/>
        <v>0</v>
      </c>
      <c r="Z10" s="198">
        <f t="shared" si="4"/>
        <v>0</v>
      </c>
      <c r="AA10" s="198">
        <f t="shared" si="4"/>
        <v>0</v>
      </c>
      <c r="AB10" s="198">
        <f t="shared" si="4"/>
        <v>0</v>
      </c>
      <c r="AC10" s="198">
        <f t="shared" si="4"/>
        <v>0</v>
      </c>
      <c r="AD10" s="198">
        <f t="shared" si="4"/>
        <v>0</v>
      </c>
      <c r="AE10" s="198">
        <f t="shared" si="4"/>
        <v>0</v>
      </c>
      <c r="AF10" s="198">
        <f t="shared" si="4"/>
        <v>0</v>
      </c>
      <c r="AG10" s="198">
        <f t="shared" si="4"/>
        <v>0</v>
      </c>
      <c r="AH10" s="198" t="e">
        <f t="shared" si="4"/>
        <v>#REF!</v>
      </c>
      <c r="AI10" s="198">
        <f t="shared" si="4"/>
        <v>0</v>
      </c>
      <c r="AJ10" s="198">
        <f t="shared" si="4"/>
        <v>0</v>
      </c>
      <c r="AK10" s="198">
        <f t="shared" si="4"/>
        <v>0</v>
      </c>
      <c r="AL10" s="198">
        <f t="shared" si="4"/>
        <v>0</v>
      </c>
      <c r="AM10" s="198">
        <f t="shared" si="4"/>
        <v>0</v>
      </c>
      <c r="AN10" s="198" t="e">
        <f t="shared" si="3"/>
        <v>#REF!</v>
      </c>
    </row>
    <row r="11" spans="2:40">
      <c r="B11" s="191">
        <v>1.4</v>
      </c>
      <c r="C11" s="15" t="s">
        <v>646</v>
      </c>
      <c r="D11" s="132"/>
      <c r="E11" s="132"/>
      <c r="F11" s="146"/>
      <c r="G11" s="146"/>
      <c r="H11" s="250"/>
      <c r="I11" s="198"/>
      <c r="J11" s="198">
        <v>3000</v>
      </c>
      <c r="K11" s="198">
        <v>3000</v>
      </c>
      <c r="L11" s="198">
        <v>3000</v>
      </c>
      <c r="M11" s="198">
        <v>3000</v>
      </c>
      <c r="N11" s="198">
        <v>3000</v>
      </c>
      <c r="O11" s="198">
        <v>3000</v>
      </c>
      <c r="P11" s="198">
        <v>3000</v>
      </c>
      <c r="Q11" s="198">
        <v>3000</v>
      </c>
      <c r="R11" s="198">
        <v>3000</v>
      </c>
      <c r="S11" s="198">
        <v>3000</v>
      </c>
      <c r="T11" s="198">
        <v>3000</v>
      </c>
      <c r="U11" s="198">
        <v>3000</v>
      </c>
      <c r="V11" s="198">
        <v>3000</v>
      </c>
      <c r="W11" s="198">
        <v>3000</v>
      </c>
      <c r="X11" s="198">
        <v>3000</v>
      </c>
      <c r="Y11" s="198">
        <v>3000</v>
      </c>
      <c r="Z11" s="198">
        <v>3000</v>
      </c>
      <c r="AA11" s="198">
        <v>3000</v>
      </c>
      <c r="AB11" s="198">
        <v>3000</v>
      </c>
      <c r="AC11" s="198">
        <v>3000</v>
      </c>
      <c r="AD11" s="198">
        <v>3000</v>
      </c>
      <c r="AE11" s="198">
        <v>3000</v>
      </c>
      <c r="AF11" s="198">
        <v>3000</v>
      </c>
      <c r="AG11" s="198">
        <v>3000</v>
      </c>
      <c r="AH11" s="198">
        <v>3000</v>
      </c>
      <c r="AI11" s="198"/>
      <c r="AJ11" s="198"/>
      <c r="AK11" s="198"/>
      <c r="AL11" s="198"/>
      <c r="AM11" s="198"/>
      <c r="AN11" s="198">
        <f t="shared" si="3"/>
        <v>75000</v>
      </c>
    </row>
    <row r="12" spans="2:40">
      <c r="B12" s="191">
        <v>1.5</v>
      </c>
      <c r="C12" s="15" t="s">
        <v>647</v>
      </c>
      <c r="D12" s="132"/>
      <c r="E12" s="132"/>
      <c r="F12" s="146"/>
      <c r="G12" s="146"/>
      <c r="H12" s="250"/>
      <c r="I12" s="198"/>
      <c r="J12" s="198">
        <v>1000</v>
      </c>
      <c r="K12" s="198">
        <v>1000</v>
      </c>
      <c r="L12" s="198">
        <v>1000</v>
      </c>
      <c r="M12" s="198">
        <v>1000</v>
      </c>
      <c r="N12" s="198">
        <v>1000</v>
      </c>
      <c r="O12" s="198">
        <v>1000</v>
      </c>
      <c r="P12" s="198">
        <v>1000</v>
      </c>
      <c r="Q12" s="198">
        <v>1000</v>
      </c>
      <c r="R12" s="198">
        <v>1000</v>
      </c>
      <c r="S12" s="198">
        <v>1000</v>
      </c>
      <c r="T12" s="198">
        <v>1000</v>
      </c>
      <c r="U12" s="198">
        <v>1000</v>
      </c>
      <c r="V12" s="198">
        <v>1000</v>
      </c>
      <c r="W12" s="198">
        <v>1000</v>
      </c>
      <c r="X12" s="198">
        <v>1000</v>
      </c>
      <c r="Y12" s="198">
        <v>1000</v>
      </c>
      <c r="Z12" s="198">
        <v>1000</v>
      </c>
      <c r="AA12" s="198">
        <v>1000</v>
      </c>
      <c r="AB12" s="198">
        <v>1000</v>
      </c>
      <c r="AC12" s="198">
        <v>1000</v>
      </c>
      <c r="AD12" s="198">
        <v>1000</v>
      </c>
      <c r="AE12" s="198">
        <v>1000</v>
      </c>
      <c r="AF12" s="198">
        <v>1000</v>
      </c>
      <c r="AG12" s="198">
        <v>1000</v>
      </c>
      <c r="AH12" s="198">
        <v>1000</v>
      </c>
      <c r="AI12" s="198"/>
      <c r="AJ12" s="198"/>
      <c r="AK12" s="198"/>
      <c r="AL12" s="198"/>
      <c r="AM12" s="198"/>
      <c r="AN12" s="198">
        <f t="shared" si="3"/>
        <v>25000</v>
      </c>
    </row>
    <row r="13" spans="2:40">
      <c r="B13" s="191"/>
      <c r="C13" s="19" t="s">
        <v>648</v>
      </c>
      <c r="D13" s="132"/>
      <c r="E13" s="132"/>
      <c r="F13" s="146"/>
      <c r="G13" s="146"/>
      <c r="H13" s="250"/>
      <c r="I13" s="198"/>
      <c r="J13" s="198">
        <f t="shared" ref="J13:AM13" si="5">SUM(J8:J12)</f>
        <v>11879.68</v>
      </c>
      <c r="K13" s="198">
        <f t="shared" si="5"/>
        <v>12864.64</v>
      </c>
      <c r="L13" s="198">
        <f t="shared" si="5"/>
        <v>13849.6</v>
      </c>
      <c r="M13" s="198">
        <f t="shared" si="5"/>
        <v>13849.6</v>
      </c>
      <c r="N13" s="198">
        <f t="shared" si="5"/>
        <v>13849.6</v>
      </c>
      <c r="O13" s="198">
        <f t="shared" si="5"/>
        <v>13849.6</v>
      </c>
      <c r="P13" s="198">
        <f t="shared" si="5"/>
        <v>13849.6</v>
      </c>
      <c r="Q13" s="198">
        <f t="shared" si="5"/>
        <v>13849.6</v>
      </c>
      <c r="R13" s="198">
        <f t="shared" si="5"/>
        <v>13849.6</v>
      </c>
      <c r="S13" s="198">
        <f t="shared" si="5"/>
        <v>13849.6</v>
      </c>
      <c r="T13" s="198">
        <f t="shared" si="5"/>
        <v>13849.6</v>
      </c>
      <c r="U13" s="198">
        <f t="shared" si="5"/>
        <v>13849.6</v>
      </c>
      <c r="V13" s="198">
        <f t="shared" si="5"/>
        <v>13849.6</v>
      </c>
      <c r="W13" s="198">
        <f t="shared" si="5"/>
        <v>13849.6</v>
      </c>
      <c r="X13" s="198">
        <f t="shared" si="5"/>
        <v>13849.6</v>
      </c>
      <c r="Y13" s="198">
        <f t="shared" si="5"/>
        <v>13849.6</v>
      </c>
      <c r="Z13" s="198">
        <f t="shared" si="5"/>
        <v>13849.6</v>
      </c>
      <c r="AA13" s="198">
        <f t="shared" si="5"/>
        <v>13849.6</v>
      </c>
      <c r="AB13" s="198">
        <f t="shared" si="5"/>
        <v>13849.6</v>
      </c>
      <c r="AC13" s="198">
        <f t="shared" si="5"/>
        <v>13849.6</v>
      </c>
      <c r="AD13" s="198">
        <f t="shared" si="5"/>
        <v>13849.6</v>
      </c>
      <c r="AE13" s="198">
        <f t="shared" si="5"/>
        <v>13849.6</v>
      </c>
      <c r="AF13" s="198">
        <f t="shared" si="5"/>
        <v>13849.6</v>
      </c>
      <c r="AG13" s="198">
        <f t="shared" si="5"/>
        <v>13849.6</v>
      </c>
      <c r="AH13" s="198" t="e">
        <f t="shared" si="5"/>
        <v>#REF!</v>
      </c>
      <c r="AI13" s="198">
        <f t="shared" si="5"/>
        <v>0</v>
      </c>
      <c r="AJ13" s="198">
        <f t="shared" si="5"/>
        <v>0</v>
      </c>
      <c r="AK13" s="198">
        <f t="shared" si="5"/>
        <v>0</v>
      </c>
      <c r="AL13" s="198">
        <f t="shared" si="5"/>
        <v>0</v>
      </c>
      <c r="AM13" s="198">
        <f t="shared" si="5"/>
        <v>0</v>
      </c>
      <c r="AN13" s="198" t="e">
        <f t="shared" si="3"/>
        <v>#REF!</v>
      </c>
    </row>
    <row r="14" spans="2:40">
      <c r="B14" s="239">
        <v>2</v>
      </c>
      <c r="C14" s="14" t="s">
        <v>649</v>
      </c>
      <c r="D14" s="132"/>
      <c r="E14" s="132"/>
      <c r="F14" s="146"/>
      <c r="G14" s="146"/>
      <c r="H14" s="250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</row>
    <row r="15" ht="19.7" customHeight="true" spans="2:41">
      <c r="B15" s="191">
        <v>2.1</v>
      </c>
      <c r="C15" s="240" t="s">
        <v>650</v>
      </c>
      <c r="D15" s="152"/>
      <c r="E15" s="152"/>
      <c r="F15" s="250"/>
      <c r="G15" s="250" t="e">
        <f>(利息!F20-利息!F11)*$AO$15</f>
        <v>#REF!</v>
      </c>
      <c r="H15" s="250" t="e">
        <f>(利息!G20-利息!G11)*$AO$15</f>
        <v>#REF!</v>
      </c>
      <c r="I15" s="198" t="e">
        <f>(利息!H20-利息!H11)*$AO$15</f>
        <v>#REF!</v>
      </c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 t="e">
        <f t="shared" ref="AN15:AN24" si="6">SUM(G15:AM15)</f>
        <v>#REF!</v>
      </c>
      <c r="AO15" s="1">
        <v>1</v>
      </c>
    </row>
    <row r="16" spans="2:40">
      <c r="B16" s="191">
        <v>2.2</v>
      </c>
      <c r="C16" s="15" t="s">
        <v>612</v>
      </c>
      <c r="D16" s="132"/>
      <c r="E16" s="132"/>
      <c r="F16" s="250"/>
      <c r="G16" s="250"/>
      <c r="H16" s="250"/>
      <c r="I16" s="198"/>
      <c r="J16" s="198" t="e">
        <f>流动资金!F13</f>
        <v>#REF!</v>
      </c>
      <c r="K16" s="198" t="e">
        <f>流动资金!G13</f>
        <v>#REF!</v>
      </c>
      <c r="L16" s="198" t="e">
        <f>流动资金!H13</f>
        <v>#REF!</v>
      </c>
      <c r="M16" s="198" t="e">
        <f>流动资金!I13</f>
        <v>#REF!</v>
      </c>
      <c r="N16" s="198" t="e">
        <f>流动资金!J13</f>
        <v>#REF!</v>
      </c>
      <c r="O16" s="198" t="e">
        <f>流动资金!K13</f>
        <v>#REF!</v>
      </c>
      <c r="P16" s="198" t="e">
        <f>流动资金!L13</f>
        <v>#REF!</v>
      </c>
      <c r="Q16" s="198" t="e">
        <f>流动资金!M13</f>
        <v>#REF!</v>
      </c>
      <c r="R16" s="198" t="e">
        <f>流动资金!N13</f>
        <v>#REF!</v>
      </c>
      <c r="S16" s="198" t="e">
        <f>流动资金!O13</f>
        <v>#REF!</v>
      </c>
      <c r="T16" s="198" t="e">
        <f>流动资金!P13</f>
        <v>#REF!</v>
      </c>
      <c r="U16" s="198" t="e">
        <f>流动资金!Q13</f>
        <v>#REF!</v>
      </c>
      <c r="V16" s="198" t="e">
        <f>流动资金!R13</f>
        <v>#REF!</v>
      </c>
      <c r="W16" s="198" t="e">
        <f>流动资金!S13</f>
        <v>#REF!</v>
      </c>
      <c r="X16" s="198" t="e">
        <f>流动资金!T13</f>
        <v>#REF!</v>
      </c>
      <c r="Y16" s="198" t="e">
        <f>流动资金!U13</f>
        <v>#REF!</v>
      </c>
      <c r="Z16" s="198" t="e">
        <f>流动资金!V13</f>
        <v>#REF!</v>
      </c>
      <c r="AA16" s="198" t="e">
        <f>流动资金!W13</f>
        <v>#REF!</v>
      </c>
      <c r="AB16" s="198" t="e">
        <f>流动资金!X13</f>
        <v>#REF!</v>
      </c>
      <c r="AC16" s="198" t="e">
        <f>流动资金!Y13</f>
        <v>#REF!</v>
      </c>
      <c r="AD16" s="198" t="e">
        <f>流动资金!Z13</f>
        <v>#REF!</v>
      </c>
      <c r="AE16" s="198" t="e">
        <f>流动资金!AA13</f>
        <v>#REF!</v>
      </c>
      <c r="AF16" s="198">
        <f>流动资金!AB13</f>
        <v>0</v>
      </c>
      <c r="AG16" s="198">
        <f>流动资金!AC13</f>
        <v>0</v>
      </c>
      <c r="AH16" s="198">
        <f>流动资金!AD13</f>
        <v>0</v>
      </c>
      <c r="AI16" s="198">
        <f>流动资金!AE13</f>
        <v>0</v>
      </c>
      <c r="AJ16" s="198">
        <f>流动资金!AF13</f>
        <v>0</v>
      </c>
      <c r="AK16" s="198">
        <f>流动资金!AG13</f>
        <v>0</v>
      </c>
      <c r="AL16" s="198">
        <f>流动资金!AH13</f>
        <v>0</v>
      </c>
      <c r="AM16" s="198">
        <f>流动资金!AI13</f>
        <v>0</v>
      </c>
      <c r="AN16" s="198" t="e">
        <f t="shared" si="6"/>
        <v>#REF!</v>
      </c>
    </row>
    <row r="17" spans="1:41">
      <c r="A17" s="161"/>
      <c r="B17" s="191">
        <v>2.3</v>
      </c>
      <c r="C17" s="15" t="s">
        <v>651</v>
      </c>
      <c r="D17" s="132"/>
      <c r="E17" s="132"/>
      <c r="F17" s="250"/>
      <c r="G17" s="250"/>
      <c r="H17" s="250"/>
      <c r="I17" s="198"/>
      <c r="J17" s="198" t="e">
        <f>年成本分析!D25*$AO$17</f>
        <v>#REF!</v>
      </c>
      <c r="K17" s="198" t="e">
        <f>年成本分析!E25*$AO$17</f>
        <v>#REF!</v>
      </c>
      <c r="L17" s="198" t="e">
        <f>年成本分析!F25*$AO$17</f>
        <v>#REF!</v>
      </c>
      <c r="M17" s="198" t="e">
        <f>年成本分析!G25*$AO$17</f>
        <v>#REF!</v>
      </c>
      <c r="N17" s="198" t="e">
        <f>年成本分析!H25*$AO$17</f>
        <v>#REF!</v>
      </c>
      <c r="O17" s="198" t="e">
        <f>年成本分析!I25*$AO$17</f>
        <v>#REF!</v>
      </c>
      <c r="P17" s="198" t="e">
        <f>年成本分析!J25*$AO$17</f>
        <v>#REF!</v>
      </c>
      <c r="Q17" s="198" t="e">
        <f>年成本分析!K25*$AO$17</f>
        <v>#REF!</v>
      </c>
      <c r="R17" s="198" t="e">
        <f>年成本分析!L25*$AO$17</f>
        <v>#REF!</v>
      </c>
      <c r="S17" s="198" t="e">
        <f>年成本分析!M25*$AO$17</f>
        <v>#REF!</v>
      </c>
      <c r="T17" s="198" t="e">
        <f>年成本分析!N25*$AO$17</f>
        <v>#REF!</v>
      </c>
      <c r="U17" s="198" t="e">
        <f>年成本分析!O25*$AO$17</f>
        <v>#REF!</v>
      </c>
      <c r="V17" s="198" t="e">
        <f>年成本分析!P25*$AO$17</f>
        <v>#REF!</v>
      </c>
      <c r="W17" s="198" t="e">
        <f>年成本分析!Q25*$AO$17</f>
        <v>#REF!</v>
      </c>
      <c r="X17" s="198" t="e">
        <f>年成本分析!R25*$AO$17</f>
        <v>#REF!</v>
      </c>
      <c r="Y17" s="198" t="e">
        <f>年成本分析!S25*$AO$17</f>
        <v>#REF!</v>
      </c>
      <c r="Z17" s="198" t="e">
        <f>年成本分析!T25*$AO$17</f>
        <v>#REF!</v>
      </c>
      <c r="AA17" s="198" t="e">
        <f>年成本分析!U25*$AO$17</f>
        <v>#REF!</v>
      </c>
      <c r="AB17" s="198" t="e">
        <f>年成本分析!V25*$AO$17</f>
        <v>#REF!</v>
      </c>
      <c r="AC17" s="198" t="e">
        <f>年成本分析!W25*$AO$17</f>
        <v>#REF!</v>
      </c>
      <c r="AD17" s="198" t="e">
        <f>年成本分析!X25*$AO$17</f>
        <v>#REF!</v>
      </c>
      <c r="AE17" s="198" t="e">
        <f>年成本分析!Y25*$AO$17</f>
        <v>#REF!</v>
      </c>
      <c r="AF17" s="198" t="e">
        <f>年成本分析!Z25*$AO$17</f>
        <v>#REF!</v>
      </c>
      <c r="AG17" s="198" t="e">
        <f>年成本分析!AA25*$AO$17</f>
        <v>#REF!</v>
      </c>
      <c r="AH17" s="198" t="e">
        <f>年成本分析!AB25*$AO$17</f>
        <v>#REF!</v>
      </c>
      <c r="AI17" s="198">
        <f>年成本分析!AC25*$AO$17</f>
        <v>0</v>
      </c>
      <c r="AJ17" s="198">
        <f>年成本分析!AD25*$AO$17</f>
        <v>0</v>
      </c>
      <c r="AK17" s="198">
        <f>年成本分析!AE25*$AO$17</f>
        <v>0</v>
      </c>
      <c r="AL17" s="198">
        <f>年成本分析!AF25*$AO$17</f>
        <v>0</v>
      </c>
      <c r="AM17" s="198">
        <f>年成本分析!AG25*$AO$17</f>
        <v>0</v>
      </c>
      <c r="AN17" s="198" t="e">
        <f t="shared" si="6"/>
        <v>#REF!</v>
      </c>
      <c r="AO17" s="1">
        <v>1</v>
      </c>
    </row>
    <row r="18" ht="13.5" spans="1:40">
      <c r="A18" s="161"/>
      <c r="B18" s="191">
        <v>2.4</v>
      </c>
      <c r="C18" s="15" t="s">
        <v>652</v>
      </c>
      <c r="D18" s="132"/>
      <c r="E18" s="132"/>
      <c r="F18" s="250"/>
      <c r="G18" s="250"/>
      <c r="H18" s="250"/>
      <c r="I18" s="198"/>
      <c r="J18" s="198">
        <f>年成本分析!D39</f>
        <v>236.3904</v>
      </c>
      <c r="K18" s="198">
        <f>年成本分析!E39</f>
        <v>265.9392</v>
      </c>
      <c r="L18" s="198">
        <f>年成本分析!F39</f>
        <v>295.488</v>
      </c>
      <c r="M18" s="198">
        <f>年成本分析!G39</f>
        <v>295.488</v>
      </c>
      <c r="N18" s="198">
        <f>年成本分析!H39</f>
        <v>295.488</v>
      </c>
      <c r="O18" s="198">
        <f>年成本分析!I39</f>
        <v>295.488</v>
      </c>
      <c r="P18" s="198">
        <f>年成本分析!J39</f>
        <v>295.488</v>
      </c>
      <c r="Q18" s="198">
        <f>年成本分析!K39</f>
        <v>295.488</v>
      </c>
      <c r="R18" s="198">
        <f>年成本分析!L39</f>
        <v>295.488</v>
      </c>
      <c r="S18" s="198">
        <f>年成本分析!M39</f>
        <v>295.488</v>
      </c>
      <c r="T18" s="198">
        <f>年成本分析!N39</f>
        <v>295.488</v>
      </c>
      <c r="U18" s="198">
        <f>年成本分析!O39</f>
        <v>295.488</v>
      </c>
      <c r="V18" s="198">
        <f>年成本分析!P39</f>
        <v>295.488</v>
      </c>
      <c r="W18" s="198">
        <f>年成本分析!Q39</f>
        <v>295.488</v>
      </c>
      <c r="X18" s="198">
        <f>年成本分析!R39</f>
        <v>295.488</v>
      </c>
      <c r="Y18" s="198">
        <f>年成本分析!S39</f>
        <v>295.488</v>
      </c>
      <c r="Z18" s="198">
        <f>年成本分析!T39</f>
        <v>295.488</v>
      </c>
      <c r="AA18" s="198">
        <f>年成本分析!U39</f>
        <v>295.488</v>
      </c>
      <c r="AB18" s="198">
        <f>年成本分析!V39</f>
        <v>295.488</v>
      </c>
      <c r="AC18" s="198">
        <f>年成本分析!W39</f>
        <v>295.488</v>
      </c>
      <c r="AD18" s="198">
        <f>年成本分析!X39</f>
        <v>295.488</v>
      </c>
      <c r="AE18" s="198">
        <f>年成本分析!Y39</f>
        <v>295.488</v>
      </c>
      <c r="AF18" s="198">
        <f>年成本分析!Z39</f>
        <v>295.488</v>
      </c>
      <c r="AG18" s="198">
        <f>年成本分析!AA39</f>
        <v>295.488</v>
      </c>
      <c r="AH18" s="198">
        <f>年成本分析!AB39</f>
        <v>295.488</v>
      </c>
      <c r="AI18" s="198">
        <f>损益表!AC9</f>
        <v>0</v>
      </c>
      <c r="AJ18" s="198">
        <f>损益表!AD9</f>
        <v>0</v>
      </c>
      <c r="AK18" s="198">
        <f>损益表!AE9</f>
        <v>0</v>
      </c>
      <c r="AL18" s="198">
        <f>损益表!AF9</f>
        <v>0</v>
      </c>
      <c r="AM18" s="198">
        <f>损益表!AG9</f>
        <v>0</v>
      </c>
      <c r="AN18" s="198">
        <f t="shared" si="6"/>
        <v>7298.5536</v>
      </c>
    </row>
    <row r="19" hidden="true" spans="2:40">
      <c r="B19" s="191">
        <v>2.5</v>
      </c>
      <c r="C19" s="240" t="s">
        <v>522</v>
      </c>
      <c r="D19" s="132"/>
      <c r="E19" s="132"/>
      <c r="F19" s="250"/>
      <c r="G19" s="250"/>
      <c r="H19" s="250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>
        <f>损益表!X8</f>
        <v>295.488</v>
      </c>
      <c r="AE19" s="198">
        <f>损益表!Y8</f>
        <v>295.488</v>
      </c>
      <c r="AF19" s="198">
        <f>损益表!Z8</f>
        <v>295.488</v>
      </c>
      <c r="AG19" s="198">
        <f>损益表!AA8</f>
        <v>295.488</v>
      </c>
      <c r="AH19" s="198">
        <f>损益表!AB8</f>
        <v>295.488</v>
      </c>
      <c r="AI19" s="198">
        <f>损益表!AC8</f>
        <v>0</v>
      </c>
      <c r="AJ19" s="198">
        <f>损益表!AD8</f>
        <v>0</v>
      </c>
      <c r="AK19" s="198">
        <f>损益表!AE8</f>
        <v>0</v>
      </c>
      <c r="AL19" s="198">
        <f>损益表!AF8</f>
        <v>0</v>
      </c>
      <c r="AM19" s="198">
        <f>损益表!AG8</f>
        <v>0</v>
      </c>
      <c r="AN19" s="198">
        <f t="shared" si="6"/>
        <v>1477.44</v>
      </c>
    </row>
    <row r="20" spans="2:40">
      <c r="B20" s="191">
        <v>2.5</v>
      </c>
      <c r="C20" s="15" t="s">
        <v>653</v>
      </c>
      <c r="D20" s="132"/>
      <c r="E20" s="132"/>
      <c r="F20" s="250"/>
      <c r="G20" s="250"/>
      <c r="H20" s="250"/>
      <c r="I20" s="198"/>
      <c r="J20" s="198" t="e">
        <f>损益表!D22</f>
        <v>#REF!</v>
      </c>
      <c r="K20" s="198" t="e">
        <f>损益表!E22</f>
        <v>#REF!</v>
      </c>
      <c r="L20" s="198" t="e">
        <f>损益表!F22</f>
        <v>#REF!</v>
      </c>
      <c r="M20" s="198" t="e">
        <f>损益表!G22</f>
        <v>#REF!</v>
      </c>
      <c r="N20" s="198" t="e">
        <f>损益表!H22</f>
        <v>#REF!</v>
      </c>
      <c r="O20" s="198" t="e">
        <f>损益表!I22</f>
        <v>#REF!</v>
      </c>
      <c r="P20" s="198" t="e">
        <f>损益表!J22</f>
        <v>#REF!</v>
      </c>
      <c r="Q20" s="198" t="e">
        <f>损益表!K22</f>
        <v>#REF!</v>
      </c>
      <c r="R20" s="198" t="e">
        <f>损益表!L22</f>
        <v>#REF!</v>
      </c>
      <c r="S20" s="198" t="e">
        <f>损益表!M22</f>
        <v>#REF!</v>
      </c>
      <c r="T20" s="198" t="e">
        <f>损益表!N22</f>
        <v>#REF!</v>
      </c>
      <c r="U20" s="198" t="e">
        <f>损益表!O22</f>
        <v>#REF!</v>
      </c>
      <c r="V20" s="198" t="e">
        <f>损益表!P22</f>
        <v>#REF!</v>
      </c>
      <c r="W20" s="198" t="e">
        <f>损益表!Q22</f>
        <v>#REF!</v>
      </c>
      <c r="X20" s="198" t="e">
        <f>损益表!R22</f>
        <v>#REF!</v>
      </c>
      <c r="Y20" s="198" t="e">
        <f>损益表!S22</f>
        <v>#REF!</v>
      </c>
      <c r="Z20" s="198" t="e">
        <f>损益表!T22</f>
        <v>#REF!</v>
      </c>
      <c r="AA20" s="198" t="e">
        <f>损益表!U22</f>
        <v>#REF!</v>
      </c>
      <c r="AB20" s="198" t="e">
        <f>损益表!V22</f>
        <v>#REF!</v>
      </c>
      <c r="AC20" s="198" t="e">
        <f>损益表!W22</f>
        <v>#REF!</v>
      </c>
      <c r="AD20" s="198" t="e">
        <f>损益表!X22</f>
        <v>#REF!</v>
      </c>
      <c r="AE20" s="198" t="e">
        <f>损益表!Y22</f>
        <v>#REF!</v>
      </c>
      <c r="AF20" s="198" t="e">
        <f>损益表!Z22</f>
        <v>#REF!</v>
      </c>
      <c r="AG20" s="198" t="e">
        <f>损益表!AA22</f>
        <v>#REF!</v>
      </c>
      <c r="AH20" s="198" t="e">
        <f>损益表!AB22</f>
        <v>#REF!</v>
      </c>
      <c r="AI20" s="198">
        <f>损益表!AC22</f>
        <v>0</v>
      </c>
      <c r="AJ20" s="198">
        <f>损益表!AD22</f>
        <v>0</v>
      </c>
      <c r="AK20" s="198">
        <f>损益表!AE22</f>
        <v>0</v>
      </c>
      <c r="AL20" s="198">
        <f>损益表!AF22</f>
        <v>0</v>
      </c>
      <c r="AM20" s="198">
        <f>损益表!AG22</f>
        <v>0</v>
      </c>
      <c r="AN20" s="198" t="e">
        <f t="shared" si="6"/>
        <v>#REF!</v>
      </c>
    </row>
    <row r="21" hidden="true" spans="2:40">
      <c r="B21" s="191">
        <v>2.7</v>
      </c>
      <c r="C21" s="15"/>
      <c r="D21" s="132"/>
      <c r="E21" s="132"/>
      <c r="F21" s="250"/>
      <c r="G21" s="250"/>
      <c r="H21" s="250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>
        <f t="shared" si="6"/>
        <v>0</v>
      </c>
    </row>
    <row r="22" hidden="true" spans="2:40">
      <c r="B22" s="191">
        <v>2.8</v>
      </c>
      <c r="C22" s="15"/>
      <c r="D22" s="132"/>
      <c r="E22" s="132"/>
      <c r="F22" s="250"/>
      <c r="G22" s="250"/>
      <c r="H22" s="250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>
        <f t="shared" si="6"/>
        <v>0</v>
      </c>
    </row>
    <row r="23" spans="2:40">
      <c r="B23" s="191"/>
      <c r="C23" s="19" t="s">
        <v>654</v>
      </c>
      <c r="D23" s="152">
        <f t="shared" ref="D23:AM23" si="7">SUM(D15:D22)</f>
        <v>0</v>
      </c>
      <c r="E23" s="152">
        <f t="shared" si="7"/>
        <v>0</v>
      </c>
      <c r="F23" s="250">
        <f t="shared" si="7"/>
        <v>0</v>
      </c>
      <c r="G23" s="250" t="e">
        <f t="shared" si="7"/>
        <v>#REF!</v>
      </c>
      <c r="H23" s="250" t="e">
        <f t="shared" si="7"/>
        <v>#REF!</v>
      </c>
      <c r="I23" s="198" t="e">
        <f t="shared" si="7"/>
        <v>#REF!</v>
      </c>
      <c r="J23" s="198" t="e">
        <f t="shared" si="7"/>
        <v>#REF!</v>
      </c>
      <c r="K23" s="198" t="e">
        <f t="shared" si="7"/>
        <v>#REF!</v>
      </c>
      <c r="L23" s="198" t="e">
        <f t="shared" si="7"/>
        <v>#REF!</v>
      </c>
      <c r="M23" s="198" t="e">
        <f t="shared" si="7"/>
        <v>#REF!</v>
      </c>
      <c r="N23" s="198" t="e">
        <f t="shared" si="7"/>
        <v>#REF!</v>
      </c>
      <c r="O23" s="198" t="e">
        <f t="shared" si="7"/>
        <v>#REF!</v>
      </c>
      <c r="P23" s="198" t="e">
        <f t="shared" si="7"/>
        <v>#REF!</v>
      </c>
      <c r="Q23" s="198" t="e">
        <f t="shared" si="7"/>
        <v>#REF!</v>
      </c>
      <c r="R23" s="198" t="e">
        <f t="shared" si="7"/>
        <v>#REF!</v>
      </c>
      <c r="S23" s="198" t="e">
        <f t="shared" si="7"/>
        <v>#REF!</v>
      </c>
      <c r="T23" s="198" t="e">
        <f t="shared" si="7"/>
        <v>#REF!</v>
      </c>
      <c r="U23" s="198" t="e">
        <f t="shared" si="7"/>
        <v>#REF!</v>
      </c>
      <c r="V23" s="198" t="e">
        <f t="shared" si="7"/>
        <v>#REF!</v>
      </c>
      <c r="W23" s="198" t="e">
        <f t="shared" si="7"/>
        <v>#REF!</v>
      </c>
      <c r="X23" s="198" t="e">
        <f t="shared" si="7"/>
        <v>#REF!</v>
      </c>
      <c r="Y23" s="198" t="e">
        <f t="shared" si="7"/>
        <v>#REF!</v>
      </c>
      <c r="Z23" s="198" t="e">
        <f t="shared" si="7"/>
        <v>#REF!</v>
      </c>
      <c r="AA23" s="198" t="e">
        <f t="shared" si="7"/>
        <v>#REF!</v>
      </c>
      <c r="AB23" s="198" t="e">
        <f t="shared" si="7"/>
        <v>#REF!</v>
      </c>
      <c r="AC23" s="198" t="e">
        <f t="shared" si="7"/>
        <v>#REF!</v>
      </c>
      <c r="AD23" s="198" t="e">
        <f t="shared" si="7"/>
        <v>#REF!</v>
      </c>
      <c r="AE23" s="198" t="e">
        <f t="shared" si="7"/>
        <v>#REF!</v>
      </c>
      <c r="AF23" s="198" t="e">
        <f t="shared" si="7"/>
        <v>#REF!</v>
      </c>
      <c r="AG23" s="198" t="e">
        <f t="shared" si="7"/>
        <v>#REF!</v>
      </c>
      <c r="AH23" s="198" t="e">
        <f t="shared" si="7"/>
        <v>#REF!</v>
      </c>
      <c r="AI23" s="198">
        <f t="shared" si="7"/>
        <v>0</v>
      </c>
      <c r="AJ23" s="198">
        <f t="shared" si="7"/>
        <v>0</v>
      </c>
      <c r="AK23" s="198">
        <f t="shared" si="7"/>
        <v>0</v>
      </c>
      <c r="AL23" s="198">
        <f t="shared" si="7"/>
        <v>0</v>
      </c>
      <c r="AM23" s="198">
        <f t="shared" si="7"/>
        <v>0</v>
      </c>
      <c r="AN23" s="198" t="e">
        <f t="shared" si="6"/>
        <v>#REF!</v>
      </c>
    </row>
    <row r="24" spans="2:40">
      <c r="B24" s="239">
        <v>3</v>
      </c>
      <c r="C24" s="15" t="s">
        <v>655</v>
      </c>
      <c r="D24" s="152">
        <f t="shared" ref="D24:AM24" si="8">D13-D23</f>
        <v>0</v>
      </c>
      <c r="E24" s="152">
        <f t="shared" si="8"/>
        <v>0</v>
      </c>
      <c r="F24" s="250">
        <f t="shared" si="8"/>
        <v>0</v>
      </c>
      <c r="G24" s="250" t="e">
        <f t="shared" si="8"/>
        <v>#REF!</v>
      </c>
      <c r="H24" s="250" t="e">
        <f t="shared" si="8"/>
        <v>#REF!</v>
      </c>
      <c r="I24" s="198" t="e">
        <f t="shared" si="8"/>
        <v>#REF!</v>
      </c>
      <c r="J24" s="198" t="e">
        <f t="shared" si="8"/>
        <v>#REF!</v>
      </c>
      <c r="K24" s="198" t="e">
        <f t="shared" si="8"/>
        <v>#REF!</v>
      </c>
      <c r="L24" s="198" t="e">
        <f t="shared" si="8"/>
        <v>#REF!</v>
      </c>
      <c r="M24" s="198" t="e">
        <f t="shared" si="8"/>
        <v>#REF!</v>
      </c>
      <c r="N24" s="198" t="e">
        <f t="shared" si="8"/>
        <v>#REF!</v>
      </c>
      <c r="O24" s="198" t="e">
        <f t="shared" si="8"/>
        <v>#REF!</v>
      </c>
      <c r="P24" s="198" t="e">
        <f t="shared" si="8"/>
        <v>#REF!</v>
      </c>
      <c r="Q24" s="198" t="e">
        <f t="shared" si="8"/>
        <v>#REF!</v>
      </c>
      <c r="R24" s="198" t="e">
        <f t="shared" si="8"/>
        <v>#REF!</v>
      </c>
      <c r="S24" s="198" t="e">
        <f t="shared" si="8"/>
        <v>#REF!</v>
      </c>
      <c r="T24" s="198" t="e">
        <f t="shared" si="8"/>
        <v>#REF!</v>
      </c>
      <c r="U24" s="198" t="e">
        <f t="shared" si="8"/>
        <v>#REF!</v>
      </c>
      <c r="V24" s="198" t="e">
        <f t="shared" si="8"/>
        <v>#REF!</v>
      </c>
      <c r="W24" s="198" t="e">
        <f t="shared" si="8"/>
        <v>#REF!</v>
      </c>
      <c r="X24" s="198" t="e">
        <f t="shared" si="8"/>
        <v>#REF!</v>
      </c>
      <c r="Y24" s="198" t="e">
        <f t="shared" si="8"/>
        <v>#REF!</v>
      </c>
      <c r="Z24" s="198" t="e">
        <f t="shared" si="8"/>
        <v>#REF!</v>
      </c>
      <c r="AA24" s="198" t="e">
        <f t="shared" si="8"/>
        <v>#REF!</v>
      </c>
      <c r="AB24" s="198" t="e">
        <f t="shared" si="8"/>
        <v>#REF!</v>
      </c>
      <c r="AC24" s="198" t="e">
        <f t="shared" si="8"/>
        <v>#REF!</v>
      </c>
      <c r="AD24" s="198" t="e">
        <f t="shared" si="8"/>
        <v>#REF!</v>
      </c>
      <c r="AE24" s="198" t="e">
        <f t="shared" si="8"/>
        <v>#REF!</v>
      </c>
      <c r="AF24" s="198" t="e">
        <f t="shared" si="8"/>
        <v>#REF!</v>
      </c>
      <c r="AG24" s="198" t="e">
        <f t="shared" si="8"/>
        <v>#REF!</v>
      </c>
      <c r="AH24" s="198" t="e">
        <f t="shared" si="8"/>
        <v>#REF!</v>
      </c>
      <c r="AI24" s="198">
        <f t="shared" si="8"/>
        <v>0</v>
      </c>
      <c r="AJ24" s="198">
        <f t="shared" si="8"/>
        <v>0</v>
      </c>
      <c r="AK24" s="198">
        <f t="shared" si="8"/>
        <v>0</v>
      </c>
      <c r="AL24" s="198">
        <f t="shared" si="8"/>
        <v>0</v>
      </c>
      <c r="AM24" s="198">
        <f t="shared" si="8"/>
        <v>0</v>
      </c>
      <c r="AN24" s="198" t="e">
        <f t="shared" si="6"/>
        <v>#REF!</v>
      </c>
    </row>
    <row r="25" spans="2:40">
      <c r="B25" s="239">
        <v>4</v>
      </c>
      <c r="C25" s="240" t="s">
        <v>656</v>
      </c>
      <c r="D25" s="152">
        <f>D24</f>
        <v>0</v>
      </c>
      <c r="E25" s="152">
        <f t="shared" ref="E25:I25" si="9">D25+E24</f>
        <v>0</v>
      </c>
      <c r="F25" s="250">
        <f t="shared" si="9"/>
        <v>0</v>
      </c>
      <c r="G25" s="250" t="e">
        <f t="shared" si="9"/>
        <v>#REF!</v>
      </c>
      <c r="H25" s="250" t="e">
        <f t="shared" si="9"/>
        <v>#REF!</v>
      </c>
      <c r="I25" s="198" t="e">
        <f t="shared" si="9"/>
        <v>#REF!</v>
      </c>
      <c r="J25" s="198" t="e">
        <f t="shared" ref="J25:AM25" si="10">IF(J5&gt;zq,0,I25+J24)</f>
        <v>#REF!</v>
      </c>
      <c r="K25" s="198" t="e">
        <f t="shared" si="10"/>
        <v>#REF!</v>
      </c>
      <c r="L25" s="198" t="e">
        <f t="shared" si="10"/>
        <v>#REF!</v>
      </c>
      <c r="M25" s="198" t="e">
        <f t="shared" si="10"/>
        <v>#REF!</v>
      </c>
      <c r="N25" s="198" t="e">
        <f t="shared" si="10"/>
        <v>#REF!</v>
      </c>
      <c r="O25" s="198" t="e">
        <f t="shared" si="10"/>
        <v>#REF!</v>
      </c>
      <c r="P25" s="198" t="e">
        <f t="shared" si="10"/>
        <v>#REF!</v>
      </c>
      <c r="Q25" s="198" t="e">
        <f t="shared" si="10"/>
        <v>#REF!</v>
      </c>
      <c r="R25" s="198" t="e">
        <f t="shared" si="10"/>
        <v>#REF!</v>
      </c>
      <c r="S25" s="198" t="e">
        <f t="shared" si="10"/>
        <v>#REF!</v>
      </c>
      <c r="T25" s="198" t="e">
        <f t="shared" si="10"/>
        <v>#REF!</v>
      </c>
      <c r="U25" s="198" t="e">
        <f t="shared" si="10"/>
        <v>#REF!</v>
      </c>
      <c r="V25" s="198" t="e">
        <f t="shared" si="10"/>
        <v>#REF!</v>
      </c>
      <c r="W25" s="198" t="e">
        <f t="shared" si="10"/>
        <v>#REF!</v>
      </c>
      <c r="X25" s="198" t="e">
        <f t="shared" si="10"/>
        <v>#REF!</v>
      </c>
      <c r="Y25" s="198" t="e">
        <f t="shared" si="10"/>
        <v>#REF!</v>
      </c>
      <c r="Z25" s="198" t="e">
        <f t="shared" si="10"/>
        <v>#REF!</v>
      </c>
      <c r="AA25" s="198" t="e">
        <f t="shared" si="10"/>
        <v>#REF!</v>
      </c>
      <c r="AB25" s="198" t="e">
        <f t="shared" si="10"/>
        <v>#REF!</v>
      </c>
      <c r="AC25" s="198" t="e">
        <f t="shared" si="10"/>
        <v>#REF!</v>
      </c>
      <c r="AD25" s="198" t="e">
        <f t="shared" si="10"/>
        <v>#REF!</v>
      </c>
      <c r="AE25" s="198" t="e">
        <f t="shared" si="10"/>
        <v>#REF!</v>
      </c>
      <c r="AF25" s="198" t="e">
        <f t="shared" si="10"/>
        <v>#REF!</v>
      </c>
      <c r="AG25" s="198" t="e">
        <f t="shared" si="10"/>
        <v>#REF!</v>
      </c>
      <c r="AH25" s="198" t="e">
        <f t="shared" si="10"/>
        <v>#REF!</v>
      </c>
      <c r="AI25" s="198">
        <f t="shared" si="10"/>
        <v>0</v>
      </c>
      <c r="AJ25" s="198">
        <f t="shared" si="10"/>
        <v>0</v>
      </c>
      <c r="AK25" s="198">
        <f t="shared" si="10"/>
        <v>0</v>
      </c>
      <c r="AL25" s="198">
        <f t="shared" si="10"/>
        <v>0</v>
      </c>
      <c r="AM25" s="198">
        <f t="shared" si="10"/>
        <v>0</v>
      </c>
      <c r="AN25" s="198"/>
    </row>
    <row r="26" spans="2:40">
      <c r="B26" s="239">
        <v>5</v>
      </c>
      <c r="C26" s="240" t="s">
        <v>657</v>
      </c>
      <c r="D26" s="152">
        <f t="shared" ref="D26:G26" si="11">D13-D23</f>
        <v>0</v>
      </c>
      <c r="E26" s="152">
        <f t="shared" si="11"/>
        <v>0</v>
      </c>
      <c r="F26" s="250">
        <f t="shared" si="11"/>
        <v>0</v>
      </c>
      <c r="G26" s="250" t="e">
        <f t="shared" si="11"/>
        <v>#REF!</v>
      </c>
      <c r="H26" s="250" t="e">
        <f t="shared" ref="H26:AM26" si="12">H13-(H23-H20)</f>
        <v>#REF!</v>
      </c>
      <c r="I26" s="198" t="e">
        <f t="shared" si="12"/>
        <v>#REF!</v>
      </c>
      <c r="J26" s="198" t="e">
        <f t="shared" si="12"/>
        <v>#REF!</v>
      </c>
      <c r="K26" s="198" t="e">
        <f t="shared" si="12"/>
        <v>#REF!</v>
      </c>
      <c r="L26" s="198" t="e">
        <f t="shared" si="12"/>
        <v>#REF!</v>
      </c>
      <c r="M26" s="198" t="e">
        <f t="shared" si="12"/>
        <v>#REF!</v>
      </c>
      <c r="N26" s="198" t="e">
        <f t="shared" si="12"/>
        <v>#REF!</v>
      </c>
      <c r="O26" s="198" t="e">
        <f t="shared" si="12"/>
        <v>#REF!</v>
      </c>
      <c r="P26" s="198" t="e">
        <f t="shared" si="12"/>
        <v>#REF!</v>
      </c>
      <c r="Q26" s="198" t="e">
        <f t="shared" si="12"/>
        <v>#REF!</v>
      </c>
      <c r="R26" s="198" t="e">
        <f t="shared" si="12"/>
        <v>#REF!</v>
      </c>
      <c r="S26" s="198" t="e">
        <f t="shared" si="12"/>
        <v>#REF!</v>
      </c>
      <c r="T26" s="198" t="e">
        <f t="shared" si="12"/>
        <v>#REF!</v>
      </c>
      <c r="U26" s="198" t="e">
        <f t="shared" si="12"/>
        <v>#REF!</v>
      </c>
      <c r="V26" s="198" t="e">
        <f t="shared" si="12"/>
        <v>#REF!</v>
      </c>
      <c r="W26" s="198" t="e">
        <f t="shared" si="12"/>
        <v>#REF!</v>
      </c>
      <c r="X26" s="198" t="e">
        <f t="shared" si="12"/>
        <v>#REF!</v>
      </c>
      <c r="Y26" s="198" t="e">
        <f t="shared" si="12"/>
        <v>#REF!</v>
      </c>
      <c r="Z26" s="198" t="e">
        <f t="shared" si="12"/>
        <v>#REF!</v>
      </c>
      <c r="AA26" s="198" t="e">
        <f t="shared" si="12"/>
        <v>#REF!</v>
      </c>
      <c r="AB26" s="198" t="e">
        <f t="shared" si="12"/>
        <v>#REF!</v>
      </c>
      <c r="AC26" s="198" t="e">
        <f t="shared" si="12"/>
        <v>#REF!</v>
      </c>
      <c r="AD26" s="198" t="e">
        <f t="shared" si="12"/>
        <v>#REF!</v>
      </c>
      <c r="AE26" s="198" t="e">
        <f t="shared" si="12"/>
        <v>#REF!</v>
      </c>
      <c r="AF26" s="198" t="e">
        <f t="shared" si="12"/>
        <v>#REF!</v>
      </c>
      <c r="AG26" s="198" t="e">
        <f t="shared" si="12"/>
        <v>#REF!</v>
      </c>
      <c r="AH26" s="198" t="e">
        <f t="shared" si="12"/>
        <v>#REF!</v>
      </c>
      <c r="AI26" s="198">
        <f t="shared" si="12"/>
        <v>0</v>
      </c>
      <c r="AJ26" s="198">
        <f t="shared" si="12"/>
        <v>0</v>
      </c>
      <c r="AK26" s="198">
        <f t="shared" si="12"/>
        <v>0</v>
      </c>
      <c r="AL26" s="198">
        <f t="shared" si="12"/>
        <v>0</v>
      </c>
      <c r="AM26" s="198">
        <f t="shared" si="12"/>
        <v>0</v>
      </c>
      <c r="AN26" s="198" t="e">
        <f>SUM(G26:AM26)</f>
        <v>#REF!</v>
      </c>
    </row>
    <row r="27" ht="21" spans="2:40">
      <c r="B27" s="239">
        <v>6</v>
      </c>
      <c r="C27" s="240" t="s">
        <v>658</v>
      </c>
      <c r="D27" s="152">
        <f>D26</f>
        <v>0</v>
      </c>
      <c r="E27" s="152">
        <f t="shared" ref="E27:I27" si="13">D27+E26</f>
        <v>0</v>
      </c>
      <c r="F27" s="250">
        <f t="shared" si="13"/>
        <v>0</v>
      </c>
      <c r="G27" s="250" t="e">
        <f t="shared" si="13"/>
        <v>#REF!</v>
      </c>
      <c r="H27" s="250" t="e">
        <f t="shared" si="13"/>
        <v>#REF!</v>
      </c>
      <c r="I27" s="198" t="e">
        <f t="shared" si="13"/>
        <v>#REF!</v>
      </c>
      <c r="J27" s="198" t="e">
        <f t="shared" ref="J27:AM27" si="14">IF(J5&gt;zq,0,I27+J26)</f>
        <v>#REF!</v>
      </c>
      <c r="K27" s="198" t="e">
        <f t="shared" si="14"/>
        <v>#REF!</v>
      </c>
      <c r="L27" s="198" t="e">
        <f t="shared" si="14"/>
        <v>#REF!</v>
      </c>
      <c r="M27" s="198" t="e">
        <f t="shared" si="14"/>
        <v>#REF!</v>
      </c>
      <c r="N27" s="198" t="e">
        <f t="shared" si="14"/>
        <v>#REF!</v>
      </c>
      <c r="O27" s="198" t="e">
        <f t="shared" si="14"/>
        <v>#REF!</v>
      </c>
      <c r="P27" s="198" t="e">
        <f t="shared" si="14"/>
        <v>#REF!</v>
      </c>
      <c r="Q27" s="198" t="e">
        <f t="shared" si="14"/>
        <v>#REF!</v>
      </c>
      <c r="R27" s="198" t="e">
        <f t="shared" si="14"/>
        <v>#REF!</v>
      </c>
      <c r="S27" s="198" t="e">
        <f t="shared" si="14"/>
        <v>#REF!</v>
      </c>
      <c r="T27" s="198" t="e">
        <f t="shared" si="14"/>
        <v>#REF!</v>
      </c>
      <c r="U27" s="198" t="e">
        <f t="shared" si="14"/>
        <v>#REF!</v>
      </c>
      <c r="V27" s="198" t="e">
        <f t="shared" si="14"/>
        <v>#REF!</v>
      </c>
      <c r="W27" s="198" t="e">
        <f t="shared" si="14"/>
        <v>#REF!</v>
      </c>
      <c r="X27" s="198" t="e">
        <f t="shared" si="14"/>
        <v>#REF!</v>
      </c>
      <c r="Y27" s="198" t="e">
        <f t="shared" si="14"/>
        <v>#REF!</v>
      </c>
      <c r="Z27" s="198" t="e">
        <f t="shared" si="14"/>
        <v>#REF!</v>
      </c>
      <c r="AA27" s="198" t="e">
        <f t="shared" si="14"/>
        <v>#REF!</v>
      </c>
      <c r="AB27" s="198" t="e">
        <f t="shared" si="14"/>
        <v>#REF!</v>
      </c>
      <c r="AC27" s="198" t="e">
        <f t="shared" si="14"/>
        <v>#REF!</v>
      </c>
      <c r="AD27" s="198" t="e">
        <f t="shared" si="14"/>
        <v>#REF!</v>
      </c>
      <c r="AE27" s="198" t="e">
        <f t="shared" si="14"/>
        <v>#REF!</v>
      </c>
      <c r="AF27" s="198" t="e">
        <f t="shared" si="14"/>
        <v>#REF!</v>
      </c>
      <c r="AG27" s="198" t="e">
        <f t="shared" si="14"/>
        <v>#REF!</v>
      </c>
      <c r="AH27" s="198" t="e">
        <f t="shared" si="14"/>
        <v>#REF!</v>
      </c>
      <c r="AI27" s="198">
        <f t="shared" si="14"/>
        <v>0</v>
      </c>
      <c r="AJ27" s="198">
        <f t="shared" si="14"/>
        <v>0</v>
      </c>
      <c r="AK27" s="198">
        <f t="shared" si="14"/>
        <v>0</v>
      </c>
      <c r="AL27" s="198">
        <f t="shared" si="14"/>
        <v>0</v>
      </c>
      <c r="AM27" s="198">
        <f t="shared" si="14"/>
        <v>0</v>
      </c>
      <c r="AN27" s="198"/>
    </row>
    <row r="28" spans="2:40">
      <c r="B28" s="241"/>
      <c r="C28" s="242"/>
      <c r="D28" s="243"/>
      <c r="E28" s="243"/>
      <c r="F28" s="243"/>
      <c r="G28" s="243"/>
      <c r="H28" s="243"/>
      <c r="I28" s="243"/>
      <c r="J28" s="236"/>
      <c r="K28" s="252"/>
      <c r="L28" s="252"/>
      <c r="M28" s="256" t="s">
        <v>659</v>
      </c>
      <c r="N28" s="252"/>
      <c r="O28" s="257" t="s">
        <v>660</v>
      </c>
      <c r="P28" s="252"/>
      <c r="Q28" s="236"/>
      <c r="R28" s="236"/>
      <c r="S28" s="236"/>
      <c r="T28" s="236"/>
      <c r="U28" s="236"/>
      <c r="V28" s="236"/>
      <c r="W28" s="252"/>
      <c r="X28" s="252"/>
      <c r="Y28" s="252"/>
      <c r="Z28" s="252"/>
      <c r="AA28" s="252"/>
      <c r="AB28" s="252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9"/>
    </row>
    <row r="29" spans="2:40">
      <c r="B29" s="241"/>
      <c r="C29" s="235"/>
      <c r="D29" s="236"/>
      <c r="E29" s="236"/>
      <c r="F29" s="236"/>
      <c r="G29" s="236"/>
      <c r="H29" s="236"/>
      <c r="I29" s="236"/>
      <c r="J29" s="236"/>
      <c r="K29" s="253" t="s">
        <v>661</v>
      </c>
      <c r="L29" s="253" t="s">
        <v>662</v>
      </c>
      <c r="M29" s="258" t="e">
        <f>IRR(D24:AM24)</f>
        <v>#VALUE!</v>
      </c>
      <c r="N29" s="252"/>
      <c r="O29" s="259" t="e">
        <f>财务收支状况!F26</f>
        <v>#VALUE!</v>
      </c>
      <c r="P29" s="252"/>
      <c r="Q29" s="236"/>
      <c r="R29" s="236"/>
      <c r="S29" s="236"/>
      <c r="T29" s="236"/>
      <c r="U29" s="236"/>
      <c r="V29" s="236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70"/>
    </row>
    <row r="30" spans="2:40">
      <c r="B30" s="241"/>
      <c r="C30" s="235"/>
      <c r="D30" s="236"/>
      <c r="E30" s="236"/>
      <c r="F30" s="236"/>
      <c r="G30" s="236"/>
      <c r="H30" s="236"/>
      <c r="I30" s="236"/>
      <c r="J30" s="236"/>
      <c r="K30" s="253" t="s">
        <v>663</v>
      </c>
      <c r="L30" s="253" t="s">
        <v>664</v>
      </c>
      <c r="M30" s="260" t="e">
        <f>D32*D33+E32*E33+F32*F33+G32*G33+H32*H33+I32*I33</f>
        <v>#REF!</v>
      </c>
      <c r="N30" s="252" t="s">
        <v>665</v>
      </c>
      <c r="O30" s="261" t="e">
        <f>财务收支状况!F34</f>
        <v>#REF!</v>
      </c>
      <c r="P30" s="252" t="s">
        <v>665</v>
      </c>
      <c r="Q30" s="236"/>
      <c r="R30" s="236"/>
      <c r="S30" s="236"/>
      <c r="T30" s="236"/>
      <c r="U30" s="236"/>
      <c r="V30" s="236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70"/>
    </row>
    <row r="31" spans="2:40">
      <c r="B31" s="244"/>
      <c r="C31" s="245"/>
      <c r="D31" s="246"/>
      <c r="E31" s="246"/>
      <c r="F31" s="246"/>
      <c r="G31" s="246"/>
      <c r="H31" s="246"/>
      <c r="I31" s="254"/>
      <c r="J31" s="254"/>
      <c r="K31" s="255" t="s">
        <v>666</v>
      </c>
      <c r="L31" s="255" t="s">
        <v>667</v>
      </c>
      <c r="M31" s="262" t="e">
        <f>SUM(J35:AC36)+'总表 (2)'!D42</f>
        <v>#REF!</v>
      </c>
      <c r="N31" s="263" t="s">
        <v>513</v>
      </c>
      <c r="O31" s="264" t="e">
        <f>财务收支状况!F31</f>
        <v>#REF!</v>
      </c>
      <c r="P31" s="263" t="s">
        <v>513</v>
      </c>
      <c r="Q31" s="254"/>
      <c r="R31" s="254"/>
      <c r="S31" s="254"/>
      <c r="T31" s="254"/>
      <c r="U31" s="254"/>
      <c r="V31" s="254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71"/>
    </row>
    <row r="32" spans="2:40">
      <c r="B32" s="273"/>
      <c r="D32" s="120">
        <f t="shared" ref="D32:I32" si="15">IF(D5=1,1,0)</f>
        <v>0</v>
      </c>
      <c r="E32" s="120">
        <f t="shared" si="15"/>
        <v>0</v>
      </c>
      <c r="F32" s="120">
        <f t="shared" si="15"/>
        <v>0</v>
      </c>
      <c r="G32" s="120">
        <f t="shared" si="15"/>
        <v>0</v>
      </c>
      <c r="H32" s="120">
        <f t="shared" si="15"/>
        <v>1</v>
      </c>
      <c r="I32" s="120">
        <f t="shared" si="15"/>
        <v>0</v>
      </c>
      <c r="K32" s="278"/>
      <c r="L32" s="278"/>
      <c r="M32" s="279"/>
      <c r="N32" s="280"/>
      <c r="O32" s="280"/>
      <c r="P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</row>
    <row r="33" spans="2:40">
      <c r="B33" s="273"/>
      <c r="D33" s="248" t="e">
        <f>NPV('总表 (2)'!$D$45,D24:$AM$24)</f>
        <v>#REF!</v>
      </c>
      <c r="E33" s="248" t="e">
        <f>NPV('总表 (2)'!$D$45,E24:$AM$24)</f>
        <v>#REF!</v>
      </c>
      <c r="F33" s="248" t="e">
        <f>NPV('总表 (2)'!$D$45,F24:$AM$24)</f>
        <v>#REF!</v>
      </c>
      <c r="G33" s="248" t="e">
        <f>NPV('总表 (2)'!$D$45,G24:$AM$24)</f>
        <v>#REF!</v>
      </c>
      <c r="H33" s="248" t="e">
        <f>NPV('总表 (2)'!$D$45,H24:$AM$24)</f>
        <v>#REF!</v>
      </c>
      <c r="I33" s="248" t="e">
        <f>NPV('总表 (2)'!$D$45,I24:$AM$24)</f>
        <v>#REF!</v>
      </c>
      <c r="K33" s="278"/>
      <c r="L33" s="278"/>
      <c r="M33" s="279"/>
      <c r="N33" s="280"/>
      <c r="O33" s="280"/>
      <c r="P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</row>
    <row r="34" spans="2:40">
      <c r="B34" s="273"/>
      <c r="D34" s="248" t="e">
        <f>NPV('总表 (2)'!$D$45,D26:$AM$26)</f>
        <v>#REF!</v>
      </c>
      <c r="E34" s="248" t="e">
        <f>NPV('总表 (2)'!$D$45,E26:$AM$26)</f>
        <v>#REF!</v>
      </c>
      <c r="F34" s="248" t="e">
        <f>NPV('总表 (2)'!$D$45,F26:$AM$26)</f>
        <v>#REF!</v>
      </c>
      <c r="G34" s="248" t="e">
        <f>NPV('总表 (2)'!$D$45,G26:$AM$26)</f>
        <v>#REF!</v>
      </c>
      <c r="H34" s="248" t="e">
        <f>NPV('总表 (2)'!$D$45,H26:$AM$26)</f>
        <v>#REF!</v>
      </c>
      <c r="I34" s="248" t="e">
        <f>NPV('总表 (2)'!$D$45,I26:$AM$26)</f>
        <v>#REF!</v>
      </c>
      <c r="K34" s="278"/>
      <c r="L34" s="278"/>
      <c r="M34" s="279"/>
      <c r="N34" s="280"/>
      <c r="O34" s="280"/>
      <c r="P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</row>
    <row r="35" spans="6:39">
      <c r="F35" s="120">
        <f t="shared" ref="F35:AM35" si="16">IF(F25&lt;0,1,0)</f>
        <v>0</v>
      </c>
      <c r="J35" s="120" t="e">
        <f t="shared" si="16"/>
        <v>#REF!</v>
      </c>
      <c r="K35" s="120" t="e">
        <f t="shared" si="16"/>
        <v>#REF!</v>
      </c>
      <c r="L35" s="120" t="e">
        <f t="shared" si="16"/>
        <v>#REF!</v>
      </c>
      <c r="M35" s="120" t="e">
        <f t="shared" si="16"/>
        <v>#REF!</v>
      </c>
      <c r="N35" s="120" t="e">
        <f t="shared" si="16"/>
        <v>#REF!</v>
      </c>
      <c r="O35" s="120" t="e">
        <f t="shared" si="16"/>
        <v>#REF!</v>
      </c>
      <c r="P35" s="120" t="e">
        <f t="shared" si="16"/>
        <v>#REF!</v>
      </c>
      <c r="Q35" s="120" t="e">
        <f t="shared" si="16"/>
        <v>#REF!</v>
      </c>
      <c r="R35" s="120" t="e">
        <f t="shared" si="16"/>
        <v>#REF!</v>
      </c>
      <c r="S35" s="120" t="e">
        <f t="shared" si="16"/>
        <v>#REF!</v>
      </c>
      <c r="T35" s="120" t="e">
        <f t="shared" si="16"/>
        <v>#REF!</v>
      </c>
      <c r="U35" s="120" t="e">
        <f t="shared" si="16"/>
        <v>#REF!</v>
      </c>
      <c r="V35" s="120" t="e">
        <f t="shared" si="16"/>
        <v>#REF!</v>
      </c>
      <c r="W35" s="120" t="e">
        <f t="shared" si="16"/>
        <v>#REF!</v>
      </c>
      <c r="X35" s="120" t="e">
        <f t="shared" si="16"/>
        <v>#REF!</v>
      </c>
      <c r="Y35" s="120" t="e">
        <f t="shared" si="16"/>
        <v>#REF!</v>
      </c>
      <c r="Z35" s="120" t="e">
        <f t="shared" si="16"/>
        <v>#REF!</v>
      </c>
      <c r="AA35" s="120" t="e">
        <f t="shared" si="16"/>
        <v>#REF!</v>
      </c>
      <c r="AB35" s="120" t="e">
        <f t="shared" si="16"/>
        <v>#REF!</v>
      </c>
      <c r="AC35" s="120" t="e">
        <f t="shared" si="16"/>
        <v>#REF!</v>
      </c>
      <c r="AD35" s="120" t="e">
        <f t="shared" si="16"/>
        <v>#REF!</v>
      </c>
      <c r="AE35" s="120" t="e">
        <f t="shared" si="16"/>
        <v>#REF!</v>
      </c>
      <c r="AF35" s="120" t="e">
        <f t="shared" si="16"/>
        <v>#REF!</v>
      </c>
      <c r="AG35" s="120" t="e">
        <f t="shared" si="16"/>
        <v>#REF!</v>
      </c>
      <c r="AH35" s="120" t="e">
        <f t="shared" si="16"/>
        <v>#REF!</v>
      </c>
      <c r="AI35" s="120">
        <f t="shared" si="16"/>
        <v>0</v>
      </c>
      <c r="AJ35" s="120">
        <f t="shared" si="16"/>
        <v>0</v>
      </c>
      <c r="AK35" s="120">
        <f t="shared" si="16"/>
        <v>0</v>
      </c>
      <c r="AL35" s="120">
        <f t="shared" si="16"/>
        <v>0</v>
      </c>
      <c r="AM35" s="120">
        <f t="shared" si="16"/>
        <v>0</v>
      </c>
    </row>
    <row r="36" spans="6:39">
      <c r="F36" s="120">
        <f t="shared" ref="F36:AM36" si="17">IF(F35+G35=1,-F25/G24,0)</f>
        <v>0</v>
      </c>
      <c r="J36" s="120" t="e">
        <f t="shared" si="17"/>
        <v>#REF!</v>
      </c>
      <c r="K36" s="120" t="e">
        <f t="shared" si="17"/>
        <v>#REF!</v>
      </c>
      <c r="L36" s="120" t="e">
        <f t="shared" si="17"/>
        <v>#REF!</v>
      </c>
      <c r="M36" s="120" t="e">
        <f t="shared" si="17"/>
        <v>#REF!</v>
      </c>
      <c r="N36" s="120" t="e">
        <f t="shared" si="17"/>
        <v>#REF!</v>
      </c>
      <c r="O36" s="120" t="e">
        <f t="shared" si="17"/>
        <v>#REF!</v>
      </c>
      <c r="P36" s="120" t="e">
        <f t="shared" si="17"/>
        <v>#REF!</v>
      </c>
      <c r="Q36" s="120" t="e">
        <f t="shared" si="17"/>
        <v>#REF!</v>
      </c>
      <c r="R36" s="120" t="e">
        <f t="shared" si="17"/>
        <v>#REF!</v>
      </c>
      <c r="S36" s="120" t="e">
        <f t="shared" si="17"/>
        <v>#REF!</v>
      </c>
      <c r="T36" s="120" t="e">
        <f t="shared" si="17"/>
        <v>#REF!</v>
      </c>
      <c r="U36" s="120" t="e">
        <f t="shared" si="17"/>
        <v>#REF!</v>
      </c>
      <c r="V36" s="120" t="e">
        <f t="shared" si="17"/>
        <v>#REF!</v>
      </c>
      <c r="W36" s="120" t="e">
        <f t="shared" si="17"/>
        <v>#REF!</v>
      </c>
      <c r="X36" s="120" t="e">
        <f t="shared" si="17"/>
        <v>#REF!</v>
      </c>
      <c r="Y36" s="120" t="e">
        <f t="shared" si="17"/>
        <v>#REF!</v>
      </c>
      <c r="Z36" s="120" t="e">
        <f t="shared" si="17"/>
        <v>#REF!</v>
      </c>
      <c r="AA36" s="120" t="e">
        <f t="shared" si="17"/>
        <v>#REF!</v>
      </c>
      <c r="AB36" s="120" t="e">
        <f t="shared" si="17"/>
        <v>#REF!</v>
      </c>
      <c r="AC36" s="120" t="e">
        <f t="shared" si="17"/>
        <v>#REF!</v>
      </c>
      <c r="AD36" s="120" t="e">
        <f t="shared" si="17"/>
        <v>#REF!</v>
      </c>
      <c r="AE36" s="120" t="e">
        <f t="shared" si="17"/>
        <v>#REF!</v>
      </c>
      <c r="AF36" s="120" t="e">
        <f t="shared" si="17"/>
        <v>#REF!</v>
      </c>
      <c r="AG36" s="120" t="e">
        <f t="shared" si="17"/>
        <v>#REF!</v>
      </c>
      <c r="AH36" s="120" t="e">
        <f t="shared" si="17"/>
        <v>#REF!</v>
      </c>
      <c r="AI36" s="120">
        <f t="shared" si="17"/>
        <v>0</v>
      </c>
      <c r="AJ36" s="120">
        <f t="shared" si="17"/>
        <v>0</v>
      </c>
      <c r="AK36" s="120">
        <f t="shared" si="17"/>
        <v>0</v>
      </c>
      <c r="AL36" s="120">
        <f t="shared" si="17"/>
        <v>0</v>
      </c>
      <c r="AM36" s="120">
        <f t="shared" si="17"/>
        <v>0</v>
      </c>
    </row>
    <row r="37" spans="3:3">
      <c r="C37" s="23"/>
    </row>
    <row r="38" spans="13:13">
      <c r="M38" s="281" t="e">
        <f>IRR(D26:AM26)</f>
        <v>#VALUE!</v>
      </c>
    </row>
    <row r="39" spans="6:39">
      <c r="F39" s="120">
        <f t="shared" ref="F39:AM39" si="18">IF(F27&lt;0,1,0)</f>
        <v>0</v>
      </c>
      <c r="J39" s="120" t="e">
        <f t="shared" si="18"/>
        <v>#REF!</v>
      </c>
      <c r="K39" s="120" t="e">
        <f t="shared" si="18"/>
        <v>#REF!</v>
      </c>
      <c r="L39" s="120" t="e">
        <f t="shared" si="18"/>
        <v>#REF!</v>
      </c>
      <c r="M39" s="120" t="e">
        <f t="shared" si="18"/>
        <v>#REF!</v>
      </c>
      <c r="N39" s="120" t="e">
        <f t="shared" si="18"/>
        <v>#REF!</v>
      </c>
      <c r="O39" s="120" t="e">
        <f t="shared" si="18"/>
        <v>#REF!</v>
      </c>
      <c r="P39" s="120" t="e">
        <f t="shared" si="18"/>
        <v>#REF!</v>
      </c>
      <c r="Q39" s="120" t="e">
        <f t="shared" si="18"/>
        <v>#REF!</v>
      </c>
      <c r="R39" s="120" t="e">
        <f t="shared" si="18"/>
        <v>#REF!</v>
      </c>
      <c r="S39" s="120" t="e">
        <f t="shared" si="18"/>
        <v>#REF!</v>
      </c>
      <c r="T39" s="120" t="e">
        <f t="shared" si="18"/>
        <v>#REF!</v>
      </c>
      <c r="U39" s="120" t="e">
        <f t="shared" si="18"/>
        <v>#REF!</v>
      </c>
      <c r="V39" s="120" t="e">
        <f t="shared" si="18"/>
        <v>#REF!</v>
      </c>
      <c r="W39" s="120" t="e">
        <f t="shared" si="18"/>
        <v>#REF!</v>
      </c>
      <c r="X39" s="120" t="e">
        <f t="shared" si="18"/>
        <v>#REF!</v>
      </c>
      <c r="Y39" s="120" t="e">
        <f t="shared" si="18"/>
        <v>#REF!</v>
      </c>
      <c r="Z39" s="120" t="e">
        <f t="shared" si="18"/>
        <v>#REF!</v>
      </c>
      <c r="AA39" s="120" t="e">
        <f t="shared" si="18"/>
        <v>#REF!</v>
      </c>
      <c r="AB39" s="120" t="e">
        <f t="shared" si="18"/>
        <v>#REF!</v>
      </c>
      <c r="AC39" s="120" t="e">
        <f t="shared" si="18"/>
        <v>#REF!</v>
      </c>
      <c r="AD39" s="120" t="e">
        <f t="shared" si="18"/>
        <v>#REF!</v>
      </c>
      <c r="AE39" s="120" t="e">
        <f t="shared" si="18"/>
        <v>#REF!</v>
      </c>
      <c r="AF39" s="120" t="e">
        <f t="shared" si="18"/>
        <v>#REF!</v>
      </c>
      <c r="AG39" s="120" t="e">
        <f t="shared" si="18"/>
        <v>#REF!</v>
      </c>
      <c r="AH39" s="120" t="e">
        <f t="shared" si="18"/>
        <v>#REF!</v>
      </c>
      <c r="AI39" s="120">
        <f t="shared" si="18"/>
        <v>0</v>
      </c>
      <c r="AJ39" s="120">
        <f t="shared" si="18"/>
        <v>0</v>
      </c>
      <c r="AK39" s="120">
        <f t="shared" si="18"/>
        <v>0</v>
      </c>
      <c r="AL39" s="120">
        <f t="shared" si="18"/>
        <v>0</v>
      </c>
      <c r="AM39" s="120">
        <f t="shared" si="18"/>
        <v>0</v>
      </c>
    </row>
    <row r="40" spans="6:39">
      <c r="F40" s="120">
        <f t="shared" ref="F40:AM40" si="19">IF(F39+G39=1,-F27/G26,0)</f>
        <v>0</v>
      </c>
      <c r="J40" s="120" t="e">
        <f t="shared" si="19"/>
        <v>#REF!</v>
      </c>
      <c r="K40" s="120" t="e">
        <f t="shared" si="19"/>
        <v>#REF!</v>
      </c>
      <c r="L40" s="120" t="e">
        <f t="shared" si="19"/>
        <v>#REF!</v>
      </c>
      <c r="M40" s="120" t="e">
        <f t="shared" si="19"/>
        <v>#REF!</v>
      </c>
      <c r="N40" s="120" t="e">
        <f t="shared" si="19"/>
        <v>#REF!</v>
      </c>
      <c r="O40" s="120" t="e">
        <f t="shared" si="19"/>
        <v>#REF!</v>
      </c>
      <c r="P40" s="120" t="e">
        <f t="shared" si="19"/>
        <v>#REF!</v>
      </c>
      <c r="Q40" s="120" t="e">
        <f t="shared" si="19"/>
        <v>#REF!</v>
      </c>
      <c r="R40" s="120" t="e">
        <f t="shared" si="19"/>
        <v>#REF!</v>
      </c>
      <c r="S40" s="120" t="e">
        <f t="shared" si="19"/>
        <v>#REF!</v>
      </c>
      <c r="T40" s="120" t="e">
        <f t="shared" si="19"/>
        <v>#REF!</v>
      </c>
      <c r="U40" s="120" t="e">
        <f t="shared" si="19"/>
        <v>#REF!</v>
      </c>
      <c r="V40" s="120" t="e">
        <f t="shared" si="19"/>
        <v>#REF!</v>
      </c>
      <c r="W40" s="120" t="e">
        <f t="shared" si="19"/>
        <v>#REF!</v>
      </c>
      <c r="X40" s="120" t="e">
        <f t="shared" si="19"/>
        <v>#REF!</v>
      </c>
      <c r="Y40" s="120" t="e">
        <f t="shared" si="19"/>
        <v>#REF!</v>
      </c>
      <c r="Z40" s="120" t="e">
        <f t="shared" si="19"/>
        <v>#REF!</v>
      </c>
      <c r="AA40" s="120" t="e">
        <f t="shared" si="19"/>
        <v>#REF!</v>
      </c>
      <c r="AB40" s="120" t="e">
        <f t="shared" si="19"/>
        <v>#REF!</v>
      </c>
      <c r="AC40" s="120" t="e">
        <f t="shared" si="19"/>
        <v>#REF!</v>
      </c>
      <c r="AD40" s="120" t="e">
        <f t="shared" si="19"/>
        <v>#REF!</v>
      </c>
      <c r="AE40" s="120" t="e">
        <f t="shared" si="19"/>
        <v>#REF!</v>
      </c>
      <c r="AF40" s="120" t="e">
        <f t="shared" si="19"/>
        <v>#REF!</v>
      </c>
      <c r="AG40" s="120" t="e">
        <f t="shared" si="19"/>
        <v>#REF!</v>
      </c>
      <c r="AH40" s="120" t="e">
        <f t="shared" si="19"/>
        <v>#REF!</v>
      </c>
      <c r="AI40" s="120">
        <f t="shared" si="19"/>
        <v>0</v>
      </c>
      <c r="AJ40" s="120">
        <f t="shared" si="19"/>
        <v>0</v>
      </c>
      <c r="AK40" s="120">
        <f t="shared" si="19"/>
        <v>0</v>
      </c>
      <c r="AL40" s="120">
        <f t="shared" si="19"/>
        <v>0</v>
      </c>
      <c r="AM40" s="120">
        <f t="shared" si="19"/>
        <v>0</v>
      </c>
    </row>
    <row r="41" spans="13:13">
      <c r="M41" s="282" t="e">
        <f>SUM(J39:AC40)+'总表 (2)'!D42</f>
        <v>#REF!</v>
      </c>
    </row>
    <row r="43" spans="13:13">
      <c r="M43" s="267" t="e">
        <f>D32*D34+E32*E34+F32*F34+G32*G34+H32*H34+I32*I34</f>
        <v>#REF!</v>
      </c>
    </row>
    <row r="44" spans="10:10">
      <c r="J44" s="120">
        <f>-J8*0.1*(1-损益表!$AI$8)*(1-0.33)</f>
        <v>-527.93856</v>
      </c>
    </row>
    <row r="45" spans="2:39">
      <c r="B45" s="2" t="s">
        <v>668</v>
      </c>
      <c r="G45" s="120">
        <f t="shared" ref="G45:I45" si="20">-G8*0.1+G19*0.1+G20*0.1</f>
        <v>0</v>
      </c>
      <c r="H45" s="120">
        <f t="shared" si="20"/>
        <v>0</v>
      </c>
      <c r="I45" s="120">
        <f t="shared" si="20"/>
        <v>0</v>
      </c>
      <c r="J45" s="120">
        <f>-J8*0.1*(1-损益表!$AI$8)*(1-0.33)</f>
        <v>-527.93856</v>
      </c>
      <c r="K45" s="120">
        <f>-K8*0.1*(1-损益表!$AI$8)*(1-0.33)</f>
        <v>-593.93088</v>
      </c>
      <c r="L45" s="120">
        <f>-L8*0.1*(1-损益表!$AI$8)*(1-0.33)</f>
        <v>-659.9232</v>
      </c>
      <c r="M45" s="120">
        <f>-M8*0.1*(1-损益表!$AI$8)*(1-0.33)</f>
        <v>-659.9232</v>
      </c>
      <c r="N45" s="120">
        <f>-N8*0.1*(1-损益表!$AI$8)*(1-0.33)</f>
        <v>-659.9232</v>
      </c>
      <c r="O45" s="120">
        <f>-O8*0.1*(1-损益表!$AI$8)*(1-0.33)</f>
        <v>-659.9232</v>
      </c>
      <c r="P45" s="120">
        <f>-P8*0.1*(1-损益表!$AI$8)*(1-0.33)</f>
        <v>-659.9232</v>
      </c>
      <c r="Q45" s="120">
        <f>-Q8*0.1*(1-损益表!$AI$8)*(1-0.33)</f>
        <v>-659.9232</v>
      </c>
      <c r="R45" s="120">
        <f>-R8*0.1*(1-损益表!$AI$8)*(1-0.33)</f>
        <v>-659.9232</v>
      </c>
      <c r="S45" s="120">
        <f>-S8*0.1*(1-损益表!$AI$8)*(1-0.33)</f>
        <v>-659.9232</v>
      </c>
      <c r="T45" s="120">
        <f>-T8*0.1*(1-损益表!$AI$8)*(1-0.33)</f>
        <v>-659.9232</v>
      </c>
      <c r="U45" s="120">
        <f>-U8*0.1*(1-损益表!$AI$8)*(1-0.33)</f>
        <v>-659.9232</v>
      </c>
      <c r="V45" s="120">
        <f>-V8*0.1*(1-损益表!$AI$8)*(1-0.33)</f>
        <v>-659.9232</v>
      </c>
      <c r="W45" s="120">
        <f>-W8*0.1*(1-损益表!$AI$8)*(1-0.33)</f>
        <v>-659.9232</v>
      </c>
      <c r="X45" s="120">
        <f>-X8*0.1*(1-损益表!$AI$8)*(1-0.33)</f>
        <v>-659.9232</v>
      </c>
      <c r="Y45" s="120">
        <f>-Y8*0.1*(1-损益表!$AI$8)*(1-0.33)</f>
        <v>-659.9232</v>
      </c>
      <c r="Z45" s="120">
        <f>-Z8*0.1*(1-损益表!$AI$8)*(1-0.33)</f>
        <v>-659.9232</v>
      </c>
      <c r="AA45" s="120">
        <f>-AA8*0.1*(1-损益表!$AI$8)*(1-0.33)</f>
        <v>-659.9232</v>
      </c>
      <c r="AB45" s="120">
        <f>-AB8*0.1*(1-损益表!$AI$8)*(1-0.33)</f>
        <v>-659.9232</v>
      </c>
      <c r="AC45" s="120">
        <f>-AC8*0.1*(1-损益表!$AI$8)*(1-0.33)</f>
        <v>-659.9232</v>
      </c>
      <c r="AD45" s="120">
        <f>-AD8*0.1*(1-损益表!$AI$8)*(1-0.33)</f>
        <v>-659.9232</v>
      </c>
      <c r="AE45" s="120">
        <f>-AE8*0.1*(1-损益表!$AI$8)*(1-0.33)</f>
        <v>-659.9232</v>
      </c>
      <c r="AF45" s="120">
        <f>-AF8*0.1*(1-损益表!$AI$8)*(1-0.33)</f>
        <v>-659.9232</v>
      </c>
      <c r="AG45" s="120">
        <f>-AG8*0.1*(1-损益表!$AI$8)*(1-0.33)</f>
        <v>-659.9232</v>
      </c>
      <c r="AH45" s="120">
        <f>-AH8*0.1*(1-损益表!$AI$8)*(1-0.33)</f>
        <v>-659.9232</v>
      </c>
      <c r="AI45" s="120">
        <f>-AI8*0.1*(1-损益表!$AI$8)*(1-0.33)</f>
        <v>0</v>
      </c>
      <c r="AJ45" s="120">
        <f>-AJ8*0.1*(1-损益表!$AI$8)*(1-0.33)</f>
        <v>0</v>
      </c>
      <c r="AK45" s="120">
        <f>-AK8*0.1*(1-损益表!$AI$8)*(1-0.33)</f>
        <v>0</v>
      </c>
      <c r="AL45" s="120">
        <f>-AL8*0.1*(1-损益表!$AI$8)*(1-0.33)</f>
        <v>0</v>
      </c>
      <c r="AM45" s="120">
        <f>-AM8*0.1*(1-损益表!$AI$8)*(1-0.33)</f>
        <v>0</v>
      </c>
    </row>
    <row r="46" spans="3:39">
      <c r="C46" s="274" t="e">
        <f>IRR(F46:AM46)</f>
        <v>#VALUE!</v>
      </c>
      <c r="G46" s="275" t="e">
        <f t="shared" ref="G46:AM46" si="21">G26+G45</f>
        <v>#REF!</v>
      </c>
      <c r="H46" s="275" t="e">
        <f t="shared" si="21"/>
        <v>#REF!</v>
      </c>
      <c r="I46" s="275" t="e">
        <f t="shared" si="21"/>
        <v>#REF!</v>
      </c>
      <c r="J46" s="275" t="e">
        <f t="shared" si="21"/>
        <v>#REF!</v>
      </c>
      <c r="K46" s="275" t="e">
        <f t="shared" si="21"/>
        <v>#REF!</v>
      </c>
      <c r="L46" s="275" t="e">
        <f t="shared" si="21"/>
        <v>#REF!</v>
      </c>
      <c r="M46" s="275" t="e">
        <f t="shared" si="21"/>
        <v>#REF!</v>
      </c>
      <c r="N46" s="275" t="e">
        <f t="shared" si="21"/>
        <v>#REF!</v>
      </c>
      <c r="O46" s="275" t="e">
        <f t="shared" si="21"/>
        <v>#REF!</v>
      </c>
      <c r="P46" s="275" t="e">
        <f t="shared" si="21"/>
        <v>#REF!</v>
      </c>
      <c r="Q46" s="275" t="e">
        <f t="shared" si="21"/>
        <v>#REF!</v>
      </c>
      <c r="R46" s="275" t="e">
        <f t="shared" si="21"/>
        <v>#REF!</v>
      </c>
      <c r="S46" s="275" t="e">
        <f t="shared" si="21"/>
        <v>#REF!</v>
      </c>
      <c r="T46" s="275" t="e">
        <f t="shared" si="21"/>
        <v>#REF!</v>
      </c>
      <c r="U46" s="275" t="e">
        <f t="shared" si="21"/>
        <v>#REF!</v>
      </c>
      <c r="V46" s="275" t="e">
        <f t="shared" si="21"/>
        <v>#REF!</v>
      </c>
      <c r="W46" s="275" t="e">
        <f t="shared" si="21"/>
        <v>#REF!</v>
      </c>
      <c r="X46" s="275" t="e">
        <f t="shared" si="21"/>
        <v>#REF!</v>
      </c>
      <c r="Y46" s="275" t="e">
        <f t="shared" si="21"/>
        <v>#REF!</v>
      </c>
      <c r="Z46" s="275" t="e">
        <f t="shared" si="21"/>
        <v>#REF!</v>
      </c>
      <c r="AA46" s="275" t="e">
        <f t="shared" si="21"/>
        <v>#REF!</v>
      </c>
      <c r="AB46" s="275" t="e">
        <f t="shared" si="21"/>
        <v>#REF!</v>
      </c>
      <c r="AC46" s="275" t="e">
        <f t="shared" si="21"/>
        <v>#REF!</v>
      </c>
      <c r="AD46" s="275" t="e">
        <f t="shared" si="21"/>
        <v>#REF!</v>
      </c>
      <c r="AE46" s="275" t="e">
        <f t="shared" si="21"/>
        <v>#REF!</v>
      </c>
      <c r="AF46" s="275" t="e">
        <f t="shared" si="21"/>
        <v>#REF!</v>
      </c>
      <c r="AG46" s="275" t="e">
        <f t="shared" si="21"/>
        <v>#REF!</v>
      </c>
      <c r="AH46" s="275" t="e">
        <f t="shared" si="21"/>
        <v>#REF!</v>
      </c>
      <c r="AI46" s="275">
        <f t="shared" si="21"/>
        <v>0</v>
      </c>
      <c r="AJ46" s="275">
        <f t="shared" si="21"/>
        <v>0</v>
      </c>
      <c r="AK46" s="275">
        <f t="shared" si="21"/>
        <v>0</v>
      </c>
      <c r="AL46" s="275">
        <f t="shared" si="21"/>
        <v>0</v>
      </c>
      <c r="AM46" s="275">
        <f t="shared" si="21"/>
        <v>0</v>
      </c>
    </row>
    <row r="48" spans="2:39">
      <c r="B48" s="2" t="s">
        <v>669</v>
      </c>
      <c r="G48" s="120">
        <f t="shared" ref="G48:I48" si="22">-G8*0.2+G19*0.2+G20*0.2</f>
        <v>0</v>
      </c>
      <c r="H48" s="120">
        <f t="shared" si="22"/>
        <v>0</v>
      </c>
      <c r="I48" s="120">
        <f t="shared" si="22"/>
        <v>0</v>
      </c>
      <c r="J48" s="120">
        <f>-J8*0.2*(1-损益表!$AI$8)*(1-0.33)</f>
        <v>-1055.87712</v>
      </c>
      <c r="K48" s="120">
        <f>-K8*0.2*(1-损益表!$AI$8)*(1-0.33)</f>
        <v>-1187.86176</v>
      </c>
      <c r="L48" s="120">
        <f>-L8*0.2*(1-损益表!$AI$8)*(1-0.33)</f>
        <v>-1319.8464</v>
      </c>
      <c r="M48" s="120">
        <f>-M8*0.2*(1-损益表!$AI$8)*(1-0.33)</f>
        <v>-1319.8464</v>
      </c>
      <c r="N48" s="120">
        <f>-N8*0.2*(1-损益表!$AI$8)*(1-0.33)</f>
        <v>-1319.8464</v>
      </c>
      <c r="O48" s="120">
        <f>-O8*0.2*(1-损益表!$AI$8)*(1-0.33)</f>
        <v>-1319.8464</v>
      </c>
      <c r="P48" s="120">
        <f>-P8*0.2*(1-损益表!$AI$8)*(1-0.33)</f>
        <v>-1319.8464</v>
      </c>
      <c r="Q48" s="120">
        <f>-Q8*0.2*(1-损益表!$AI$8)*(1-0.33)</f>
        <v>-1319.8464</v>
      </c>
      <c r="R48" s="120">
        <f>-R8*0.2*(1-损益表!$AI$8)*(1-0.33)</f>
        <v>-1319.8464</v>
      </c>
      <c r="S48" s="120">
        <f>-S8*0.2*(1-损益表!$AI$8)*(1-0.33)</f>
        <v>-1319.8464</v>
      </c>
      <c r="T48" s="120">
        <f>-T8*0.2*(1-损益表!$AI$8)*(1-0.33)</f>
        <v>-1319.8464</v>
      </c>
      <c r="U48" s="120">
        <f>-U8*0.2*(1-损益表!$AI$8)*(1-0.33)</f>
        <v>-1319.8464</v>
      </c>
      <c r="V48" s="120">
        <f>-V8*0.2*(1-损益表!$AI$8)*(1-0.33)</f>
        <v>-1319.8464</v>
      </c>
      <c r="W48" s="120">
        <f>-W8*0.2*(1-损益表!$AI$8)*(1-0.33)</f>
        <v>-1319.8464</v>
      </c>
      <c r="X48" s="120">
        <f>-X8*0.2*(1-损益表!$AI$8)*(1-0.33)</f>
        <v>-1319.8464</v>
      </c>
      <c r="Y48" s="120">
        <f>-Y8*0.2*(1-损益表!$AI$8)*(1-0.33)</f>
        <v>-1319.8464</v>
      </c>
      <c r="Z48" s="120">
        <f>-Z8*0.2*(1-损益表!$AI$8)*(1-0.33)</f>
        <v>-1319.8464</v>
      </c>
      <c r="AA48" s="120">
        <f>-AA8*0.2*(1-损益表!$AI$8)*(1-0.33)</f>
        <v>-1319.8464</v>
      </c>
      <c r="AB48" s="120">
        <f>-AB8*0.2*(1-损益表!$AI$8)*(1-0.33)</f>
        <v>-1319.8464</v>
      </c>
      <c r="AC48" s="120">
        <f>-AC8*0.2*(1-损益表!$AI$8)*(1-0.33)</f>
        <v>-1319.8464</v>
      </c>
      <c r="AD48" s="120">
        <f>-AD8*0.2*(1-损益表!$AI$8)*(1-0.33)</f>
        <v>-1319.8464</v>
      </c>
      <c r="AE48" s="120">
        <f>-AE8*0.2*(1-损益表!$AI$8)*(1-0.33)</f>
        <v>-1319.8464</v>
      </c>
      <c r="AF48" s="120">
        <f>-AF8*0.2*(1-损益表!$AI$8)*(1-0.33)</f>
        <v>-1319.8464</v>
      </c>
      <c r="AG48" s="120">
        <f>-AG8*0.2*(1-损益表!$AI$8)*(1-0.33)</f>
        <v>-1319.8464</v>
      </c>
      <c r="AH48" s="120">
        <f>-AH8*0.2*(1-损益表!$AI$8)*(1-0.33)</f>
        <v>-1319.8464</v>
      </c>
      <c r="AI48" s="120">
        <f>-AI8*0.2*(1-损益表!$AI$8)*(1-0.33)</f>
        <v>0</v>
      </c>
      <c r="AJ48" s="120">
        <f>-AJ8*0.2*(1-损益表!$AI$8)*(1-0.33)</f>
        <v>0</v>
      </c>
      <c r="AK48" s="120">
        <f>-AK8*0.2*(1-损益表!$AI$8)*(1-0.33)</f>
        <v>0</v>
      </c>
      <c r="AL48" s="120">
        <f>-AL8*0.2*(1-损益表!$AI$8)*(1-0.33)</f>
        <v>0</v>
      </c>
      <c r="AM48" s="120">
        <f>-AM8*0.2*(1-损益表!$AI$8)*(1-0.33)</f>
        <v>0</v>
      </c>
    </row>
    <row r="49" spans="3:39">
      <c r="C49" s="274" t="e">
        <f>IRR(F49:AM49)</f>
        <v>#VALUE!</v>
      </c>
      <c r="G49" s="275" t="e">
        <f t="shared" ref="G49:AM49" si="23">G26+G48</f>
        <v>#REF!</v>
      </c>
      <c r="H49" s="275" t="e">
        <f t="shared" si="23"/>
        <v>#REF!</v>
      </c>
      <c r="I49" s="275" t="e">
        <f t="shared" si="23"/>
        <v>#REF!</v>
      </c>
      <c r="J49" s="275" t="e">
        <f t="shared" si="23"/>
        <v>#REF!</v>
      </c>
      <c r="K49" s="275" t="e">
        <f t="shared" si="23"/>
        <v>#REF!</v>
      </c>
      <c r="L49" s="275" t="e">
        <f t="shared" si="23"/>
        <v>#REF!</v>
      </c>
      <c r="M49" s="275" t="e">
        <f t="shared" si="23"/>
        <v>#REF!</v>
      </c>
      <c r="N49" s="275" t="e">
        <f t="shared" si="23"/>
        <v>#REF!</v>
      </c>
      <c r="O49" s="275" t="e">
        <f t="shared" si="23"/>
        <v>#REF!</v>
      </c>
      <c r="P49" s="275" t="e">
        <f t="shared" si="23"/>
        <v>#REF!</v>
      </c>
      <c r="Q49" s="275" t="e">
        <f t="shared" si="23"/>
        <v>#REF!</v>
      </c>
      <c r="R49" s="275" t="e">
        <f t="shared" si="23"/>
        <v>#REF!</v>
      </c>
      <c r="S49" s="275" t="e">
        <f t="shared" si="23"/>
        <v>#REF!</v>
      </c>
      <c r="T49" s="275" t="e">
        <f t="shared" si="23"/>
        <v>#REF!</v>
      </c>
      <c r="U49" s="275" t="e">
        <f t="shared" si="23"/>
        <v>#REF!</v>
      </c>
      <c r="V49" s="275" t="e">
        <f t="shared" si="23"/>
        <v>#REF!</v>
      </c>
      <c r="W49" s="275" t="e">
        <f t="shared" si="23"/>
        <v>#REF!</v>
      </c>
      <c r="X49" s="275" t="e">
        <f t="shared" si="23"/>
        <v>#REF!</v>
      </c>
      <c r="Y49" s="275" t="e">
        <f t="shared" si="23"/>
        <v>#REF!</v>
      </c>
      <c r="Z49" s="275" t="e">
        <f t="shared" si="23"/>
        <v>#REF!</v>
      </c>
      <c r="AA49" s="275" t="e">
        <f t="shared" si="23"/>
        <v>#REF!</v>
      </c>
      <c r="AB49" s="275" t="e">
        <f t="shared" si="23"/>
        <v>#REF!</v>
      </c>
      <c r="AC49" s="275" t="e">
        <f t="shared" si="23"/>
        <v>#REF!</v>
      </c>
      <c r="AD49" s="275" t="e">
        <f t="shared" si="23"/>
        <v>#REF!</v>
      </c>
      <c r="AE49" s="275" t="e">
        <f t="shared" si="23"/>
        <v>#REF!</v>
      </c>
      <c r="AF49" s="275" t="e">
        <f t="shared" si="23"/>
        <v>#REF!</v>
      </c>
      <c r="AG49" s="275" t="e">
        <f t="shared" si="23"/>
        <v>#REF!</v>
      </c>
      <c r="AH49" s="275" t="e">
        <f t="shared" si="23"/>
        <v>#REF!</v>
      </c>
      <c r="AI49" s="275">
        <f t="shared" si="23"/>
        <v>0</v>
      </c>
      <c r="AJ49" s="275">
        <f t="shared" si="23"/>
        <v>0</v>
      </c>
      <c r="AK49" s="275">
        <f t="shared" si="23"/>
        <v>0</v>
      </c>
      <c r="AL49" s="275">
        <f t="shared" si="23"/>
        <v>0</v>
      </c>
      <c r="AM49" s="275">
        <f t="shared" si="23"/>
        <v>0</v>
      </c>
    </row>
    <row r="51" spans="2:39">
      <c r="B51" s="2" t="s">
        <v>670</v>
      </c>
      <c r="G51" s="120">
        <f t="shared" ref="G51:I51" si="24">G8*0.1-G19*0.1-G20*0.1</f>
        <v>0</v>
      </c>
      <c r="H51" s="120">
        <f t="shared" si="24"/>
        <v>0</v>
      </c>
      <c r="I51" s="120">
        <f t="shared" si="24"/>
        <v>0</v>
      </c>
      <c r="J51" s="120">
        <f>J8*0.1*(1-损益表!$AI$8)*(1-0.33)</f>
        <v>527.93856</v>
      </c>
      <c r="K51" s="120">
        <f>K8*0.1*(1-损益表!$AI$8)*(1-0.33)</f>
        <v>593.93088</v>
      </c>
      <c r="L51" s="120">
        <f>L8*0.1*(1-损益表!$AI$8)*(1-0.33)</f>
        <v>659.9232</v>
      </c>
      <c r="M51" s="120">
        <f>M8*0.1*(1-损益表!$AI$8)*(1-0.33)</f>
        <v>659.9232</v>
      </c>
      <c r="N51" s="120">
        <f>N8*0.1*(1-损益表!$AI$8)*(1-0.33)</f>
        <v>659.9232</v>
      </c>
      <c r="O51" s="120">
        <f>O8*0.1*(1-损益表!$AI$8)*(1-0.33)</f>
        <v>659.9232</v>
      </c>
      <c r="P51" s="120">
        <f>P8*0.1*(1-损益表!$AI$8)*(1-0.33)</f>
        <v>659.9232</v>
      </c>
      <c r="Q51" s="120">
        <f>Q8*0.1*(1-损益表!$AI$8)*(1-0.33)</f>
        <v>659.9232</v>
      </c>
      <c r="R51" s="120">
        <f>R8*0.1*(1-损益表!$AI$8)*(1-0.33)</f>
        <v>659.9232</v>
      </c>
      <c r="S51" s="120">
        <f>S8*0.1*(1-损益表!$AI$8)*(1-0.33)</f>
        <v>659.9232</v>
      </c>
      <c r="T51" s="120">
        <f>T8*0.1*(1-损益表!$AI$8)*(1-0.33)</f>
        <v>659.9232</v>
      </c>
      <c r="U51" s="120">
        <f>U8*0.1*(1-损益表!$AI$8)*(1-0.33)</f>
        <v>659.9232</v>
      </c>
      <c r="V51" s="120">
        <f>V8*0.1*(1-损益表!$AI$8)*(1-0.33)</f>
        <v>659.9232</v>
      </c>
      <c r="W51" s="120">
        <f>W8*0.1*(1-损益表!$AI$8)*(1-0.33)</f>
        <v>659.9232</v>
      </c>
      <c r="X51" s="120">
        <f>X8*0.1*(1-损益表!$AI$8)*(1-0.33)</f>
        <v>659.9232</v>
      </c>
      <c r="Y51" s="120">
        <f>Y8*0.1*(1-损益表!$AI$8)*(1-0.33)</f>
        <v>659.9232</v>
      </c>
      <c r="Z51" s="120">
        <f>Z8*0.1*(1-损益表!$AI$8)*(1-0.33)</f>
        <v>659.9232</v>
      </c>
      <c r="AA51" s="120">
        <f>AA8*0.1*(1-损益表!$AI$8)*(1-0.33)</f>
        <v>659.9232</v>
      </c>
      <c r="AB51" s="120">
        <f>AB8*0.1*(1-损益表!$AI$8)*(1-0.33)</f>
        <v>659.9232</v>
      </c>
      <c r="AC51" s="120">
        <f>AC8*0.1*(1-损益表!$AI$8)*(1-0.33)</f>
        <v>659.9232</v>
      </c>
      <c r="AD51" s="120">
        <f>AD8*0.1*(1-损益表!$AI$8)*(1-0.33)</f>
        <v>659.9232</v>
      </c>
      <c r="AE51" s="120">
        <f>AE8*0.1*(1-损益表!$AI$8)*(1-0.33)</f>
        <v>659.9232</v>
      </c>
      <c r="AF51" s="120">
        <f>AF8*0.1*(1-损益表!$AI$8)*(1-0.33)</f>
        <v>659.9232</v>
      </c>
      <c r="AG51" s="120">
        <f>AG8*0.1*(1-损益表!$AI$8)*(1-0.33)</f>
        <v>659.9232</v>
      </c>
      <c r="AH51" s="120">
        <f>AH8*0.1*(1-损益表!$AI$8)*(1-0.33)</f>
        <v>659.9232</v>
      </c>
      <c r="AI51" s="120">
        <f>AI8*0.1*(1-损益表!$AI$8)*(1-0.33)</f>
        <v>0</v>
      </c>
      <c r="AJ51" s="120">
        <f>AJ8*0.1*(1-损益表!$AI$8)*(1-0.33)</f>
        <v>0</v>
      </c>
      <c r="AK51" s="120">
        <f>AK8*0.1*(1-损益表!$AI$8)*(1-0.33)</f>
        <v>0</v>
      </c>
      <c r="AL51" s="120">
        <f>AL8*0.1*(1-损益表!$AI$8)*(1-0.33)</f>
        <v>0</v>
      </c>
      <c r="AM51" s="120">
        <f>AM8*0.1*(1-损益表!$AI$8)*(1-0.33)</f>
        <v>0</v>
      </c>
    </row>
    <row r="52" spans="3:39">
      <c r="C52" s="274" t="e">
        <f>IRR(F52:AM52)</f>
        <v>#VALUE!</v>
      </c>
      <c r="G52" s="275" t="e">
        <f t="shared" ref="G52:AM52" si="25">G26+G51</f>
        <v>#REF!</v>
      </c>
      <c r="H52" s="275" t="e">
        <f t="shared" si="25"/>
        <v>#REF!</v>
      </c>
      <c r="I52" s="275" t="e">
        <f t="shared" si="25"/>
        <v>#REF!</v>
      </c>
      <c r="J52" s="275" t="e">
        <f t="shared" si="25"/>
        <v>#REF!</v>
      </c>
      <c r="K52" s="275" t="e">
        <f t="shared" si="25"/>
        <v>#REF!</v>
      </c>
      <c r="L52" s="275" t="e">
        <f t="shared" si="25"/>
        <v>#REF!</v>
      </c>
      <c r="M52" s="275" t="e">
        <f t="shared" si="25"/>
        <v>#REF!</v>
      </c>
      <c r="N52" s="275" t="e">
        <f t="shared" si="25"/>
        <v>#REF!</v>
      </c>
      <c r="O52" s="275" t="e">
        <f t="shared" si="25"/>
        <v>#REF!</v>
      </c>
      <c r="P52" s="275" t="e">
        <f t="shared" si="25"/>
        <v>#REF!</v>
      </c>
      <c r="Q52" s="275" t="e">
        <f t="shared" si="25"/>
        <v>#REF!</v>
      </c>
      <c r="R52" s="275" t="e">
        <f t="shared" si="25"/>
        <v>#REF!</v>
      </c>
      <c r="S52" s="275" t="e">
        <f t="shared" si="25"/>
        <v>#REF!</v>
      </c>
      <c r="T52" s="275" t="e">
        <f t="shared" si="25"/>
        <v>#REF!</v>
      </c>
      <c r="U52" s="275" t="e">
        <f t="shared" si="25"/>
        <v>#REF!</v>
      </c>
      <c r="V52" s="275" t="e">
        <f t="shared" si="25"/>
        <v>#REF!</v>
      </c>
      <c r="W52" s="275" t="e">
        <f t="shared" si="25"/>
        <v>#REF!</v>
      </c>
      <c r="X52" s="275" t="e">
        <f t="shared" si="25"/>
        <v>#REF!</v>
      </c>
      <c r="Y52" s="275" t="e">
        <f t="shared" si="25"/>
        <v>#REF!</v>
      </c>
      <c r="Z52" s="275" t="e">
        <f t="shared" si="25"/>
        <v>#REF!</v>
      </c>
      <c r="AA52" s="275" t="e">
        <f t="shared" si="25"/>
        <v>#REF!</v>
      </c>
      <c r="AB52" s="275" t="e">
        <f t="shared" si="25"/>
        <v>#REF!</v>
      </c>
      <c r="AC52" s="275" t="e">
        <f t="shared" si="25"/>
        <v>#REF!</v>
      </c>
      <c r="AD52" s="275" t="e">
        <f t="shared" si="25"/>
        <v>#REF!</v>
      </c>
      <c r="AE52" s="275" t="e">
        <f t="shared" si="25"/>
        <v>#REF!</v>
      </c>
      <c r="AF52" s="275" t="e">
        <f t="shared" si="25"/>
        <v>#REF!</v>
      </c>
      <c r="AG52" s="275" t="e">
        <f t="shared" si="25"/>
        <v>#REF!</v>
      </c>
      <c r="AH52" s="275" t="e">
        <f t="shared" si="25"/>
        <v>#REF!</v>
      </c>
      <c r="AI52" s="275">
        <f t="shared" si="25"/>
        <v>0</v>
      </c>
      <c r="AJ52" s="275">
        <f t="shared" si="25"/>
        <v>0</v>
      </c>
      <c r="AK52" s="275">
        <f t="shared" si="25"/>
        <v>0</v>
      </c>
      <c r="AL52" s="275">
        <f t="shared" si="25"/>
        <v>0</v>
      </c>
      <c r="AM52" s="275">
        <f t="shared" si="25"/>
        <v>0</v>
      </c>
    </row>
    <row r="54" spans="2:39">
      <c r="B54" s="2" t="s">
        <v>671</v>
      </c>
      <c r="G54" s="120">
        <f t="shared" ref="G54:I54" si="26">G8*0.2-G19*0.2-G20*0.2</f>
        <v>0</v>
      </c>
      <c r="H54" s="120">
        <f t="shared" si="26"/>
        <v>0</v>
      </c>
      <c r="I54" s="120">
        <f t="shared" si="26"/>
        <v>0</v>
      </c>
      <c r="J54" s="120">
        <f>J8*0.2*(1-损益表!$AI$8)*(1-0.33)</f>
        <v>1055.87712</v>
      </c>
      <c r="K54" s="120">
        <f>K8*0.2*(1-损益表!$AI$8)*(1-0.33)</f>
        <v>1187.86176</v>
      </c>
      <c r="L54" s="120">
        <f>L8*0.2*(1-损益表!$AI$8)*(1-0.33)</f>
        <v>1319.8464</v>
      </c>
      <c r="M54" s="120">
        <f>M8*0.2*(1-损益表!$AI$8)*(1-0.33)</f>
        <v>1319.8464</v>
      </c>
      <c r="N54" s="120">
        <f>N8*0.2*(1-损益表!$AI$8)*(1-0.33)</f>
        <v>1319.8464</v>
      </c>
      <c r="O54" s="120">
        <f>O8*0.2*(1-损益表!$AI$8)*(1-0.33)</f>
        <v>1319.8464</v>
      </c>
      <c r="P54" s="120">
        <f>P8*0.2*(1-损益表!$AI$8)*(1-0.33)</f>
        <v>1319.8464</v>
      </c>
      <c r="Q54" s="120">
        <f>Q8*0.2*(1-损益表!$AI$8)*(1-0.33)</f>
        <v>1319.8464</v>
      </c>
      <c r="R54" s="120">
        <f>R8*0.2*(1-损益表!$AI$8)*(1-0.33)</f>
        <v>1319.8464</v>
      </c>
      <c r="S54" s="120">
        <f>S8*0.2*(1-损益表!$AI$8)*(1-0.33)</f>
        <v>1319.8464</v>
      </c>
      <c r="T54" s="120">
        <f>T8*0.2*(1-损益表!$AI$8)*(1-0.33)</f>
        <v>1319.8464</v>
      </c>
      <c r="U54" s="120">
        <f>U8*0.2*(1-损益表!$AI$8)*(1-0.33)</f>
        <v>1319.8464</v>
      </c>
      <c r="V54" s="120">
        <f>V8*0.2*(1-损益表!$AI$8)*(1-0.33)</f>
        <v>1319.8464</v>
      </c>
      <c r="W54" s="120">
        <f>W8*0.2*(1-损益表!$AI$8)*(1-0.33)</f>
        <v>1319.8464</v>
      </c>
      <c r="X54" s="120">
        <f>X8*0.2*(1-损益表!$AI$8)*(1-0.33)</f>
        <v>1319.8464</v>
      </c>
      <c r="Y54" s="120">
        <f>Y8*0.2*(1-损益表!$AI$8)*(1-0.33)</f>
        <v>1319.8464</v>
      </c>
      <c r="Z54" s="120">
        <f>Z8*0.2*(1-损益表!$AI$8)*(1-0.33)</f>
        <v>1319.8464</v>
      </c>
      <c r="AA54" s="120">
        <f>AA8*0.2*(1-损益表!$AI$8)*(1-0.33)</f>
        <v>1319.8464</v>
      </c>
      <c r="AB54" s="120">
        <f>AB8*0.2*(1-损益表!$AI$8)*(1-0.33)</f>
        <v>1319.8464</v>
      </c>
      <c r="AC54" s="120">
        <f>AC8*0.2*(1-损益表!$AI$8)*(1-0.33)</f>
        <v>1319.8464</v>
      </c>
      <c r="AD54" s="120">
        <f>AD8*0.2*(1-损益表!$AI$8)*(1-0.33)</f>
        <v>1319.8464</v>
      </c>
      <c r="AE54" s="120">
        <f>AE8*0.2*(1-损益表!$AI$8)*(1-0.33)</f>
        <v>1319.8464</v>
      </c>
      <c r="AF54" s="120">
        <f>AF8*0.2*(1-损益表!$AI$8)*(1-0.33)</f>
        <v>1319.8464</v>
      </c>
      <c r="AG54" s="120">
        <f>AG8*0.2*(1-损益表!$AI$8)*(1-0.33)</f>
        <v>1319.8464</v>
      </c>
      <c r="AH54" s="120">
        <f>AH8*0.2*(1-损益表!$AI$8)*(1-0.33)</f>
        <v>1319.8464</v>
      </c>
      <c r="AI54" s="120">
        <f>AI8*0.2*(1-损益表!$AI$8)*(1-0.33)</f>
        <v>0</v>
      </c>
      <c r="AJ54" s="120">
        <f>AJ8*0.2*(1-损益表!$AI$8)*(1-0.33)</f>
        <v>0</v>
      </c>
      <c r="AK54" s="120">
        <f>AK8*0.2*(1-损益表!$AI$8)*(1-0.33)</f>
        <v>0</v>
      </c>
      <c r="AL54" s="120">
        <f>AL8*0.2*(1-损益表!$AI$8)*(1-0.33)</f>
        <v>0</v>
      </c>
      <c r="AM54" s="120">
        <f>AM8*0.2*(1-损益表!$AI$8)*(1-0.33)</f>
        <v>0</v>
      </c>
    </row>
    <row r="55" spans="3:39">
      <c r="C55" s="274" t="e">
        <f>IRR(F55:AM55)</f>
        <v>#VALUE!</v>
      </c>
      <c r="G55" s="275" t="e">
        <f t="shared" ref="G55:AM55" si="27">G26+G54</f>
        <v>#REF!</v>
      </c>
      <c r="H55" s="275" t="e">
        <f t="shared" si="27"/>
        <v>#REF!</v>
      </c>
      <c r="I55" s="275" t="e">
        <f t="shared" si="27"/>
        <v>#REF!</v>
      </c>
      <c r="J55" s="275" t="e">
        <f t="shared" si="27"/>
        <v>#REF!</v>
      </c>
      <c r="K55" s="275" t="e">
        <f t="shared" si="27"/>
        <v>#REF!</v>
      </c>
      <c r="L55" s="275" t="e">
        <f t="shared" si="27"/>
        <v>#REF!</v>
      </c>
      <c r="M55" s="275" t="e">
        <f t="shared" si="27"/>
        <v>#REF!</v>
      </c>
      <c r="N55" s="275" t="e">
        <f t="shared" si="27"/>
        <v>#REF!</v>
      </c>
      <c r="O55" s="275" t="e">
        <f t="shared" si="27"/>
        <v>#REF!</v>
      </c>
      <c r="P55" s="275" t="e">
        <f t="shared" si="27"/>
        <v>#REF!</v>
      </c>
      <c r="Q55" s="275" t="e">
        <f t="shared" si="27"/>
        <v>#REF!</v>
      </c>
      <c r="R55" s="275" t="e">
        <f t="shared" si="27"/>
        <v>#REF!</v>
      </c>
      <c r="S55" s="275" t="e">
        <f t="shared" si="27"/>
        <v>#REF!</v>
      </c>
      <c r="T55" s="275" t="e">
        <f t="shared" si="27"/>
        <v>#REF!</v>
      </c>
      <c r="U55" s="275" t="e">
        <f t="shared" si="27"/>
        <v>#REF!</v>
      </c>
      <c r="V55" s="275" t="e">
        <f t="shared" si="27"/>
        <v>#REF!</v>
      </c>
      <c r="W55" s="275" t="e">
        <f t="shared" si="27"/>
        <v>#REF!</v>
      </c>
      <c r="X55" s="275" t="e">
        <f t="shared" si="27"/>
        <v>#REF!</v>
      </c>
      <c r="Y55" s="275" t="e">
        <f t="shared" si="27"/>
        <v>#REF!</v>
      </c>
      <c r="Z55" s="275" t="e">
        <f t="shared" si="27"/>
        <v>#REF!</v>
      </c>
      <c r="AA55" s="275" t="e">
        <f t="shared" si="27"/>
        <v>#REF!</v>
      </c>
      <c r="AB55" s="275" t="e">
        <f t="shared" si="27"/>
        <v>#REF!</v>
      </c>
      <c r="AC55" s="275" t="e">
        <f t="shared" si="27"/>
        <v>#REF!</v>
      </c>
      <c r="AD55" s="275" t="e">
        <f t="shared" si="27"/>
        <v>#REF!</v>
      </c>
      <c r="AE55" s="275" t="e">
        <f t="shared" si="27"/>
        <v>#REF!</v>
      </c>
      <c r="AF55" s="275" t="e">
        <f t="shared" si="27"/>
        <v>#REF!</v>
      </c>
      <c r="AG55" s="275" t="e">
        <f t="shared" si="27"/>
        <v>#REF!</v>
      </c>
      <c r="AH55" s="275" t="e">
        <f t="shared" si="27"/>
        <v>#REF!</v>
      </c>
      <c r="AI55" s="275">
        <f t="shared" si="27"/>
        <v>0</v>
      </c>
      <c r="AJ55" s="275">
        <f t="shared" si="27"/>
        <v>0</v>
      </c>
      <c r="AK55" s="275">
        <f t="shared" si="27"/>
        <v>0</v>
      </c>
      <c r="AL55" s="275">
        <f t="shared" si="27"/>
        <v>0</v>
      </c>
      <c r="AM55" s="275">
        <f t="shared" si="27"/>
        <v>0</v>
      </c>
    </row>
    <row r="57" spans="2:39">
      <c r="B57" s="2" t="s">
        <v>672</v>
      </c>
      <c r="G57" s="120" t="e">
        <f t="shared" ref="G57:I57" si="28">G15*0.1</f>
        <v>#REF!</v>
      </c>
      <c r="H57" s="120" t="e">
        <f t="shared" si="28"/>
        <v>#REF!</v>
      </c>
      <c r="I57" s="120" t="e">
        <f t="shared" si="28"/>
        <v>#REF!</v>
      </c>
      <c r="J57" s="120" t="e">
        <f>-(年成本分析!D11+年成本分析!D12)*0.1*0.33+年成本分析!D11*0.1</f>
        <v>#REF!</v>
      </c>
      <c r="K57" s="120" t="e">
        <f>-(年成本分析!E11+年成本分析!E12)*0.1*0.33+年成本分析!E11*0.1</f>
        <v>#REF!</v>
      </c>
      <c r="L57" s="120" t="e">
        <f>-(年成本分析!F11+年成本分析!F12)*0.1*0.33+年成本分析!F11*0.1</f>
        <v>#REF!</v>
      </c>
      <c r="M57" s="120" t="e">
        <f>-(年成本分析!G11+年成本分析!G12)*0.1*0.33+年成本分析!G11*0.1</f>
        <v>#REF!</v>
      </c>
      <c r="N57" s="120" t="e">
        <f>-(年成本分析!H11+年成本分析!H12)*0.1*0.33+年成本分析!H11*0.1</f>
        <v>#REF!</v>
      </c>
      <c r="O57" s="120" t="e">
        <f>-(年成本分析!I11+年成本分析!I12)*0.1*0.33+年成本分析!I11*0.1</f>
        <v>#REF!</v>
      </c>
      <c r="P57" s="120" t="e">
        <f>-(年成本分析!J11+年成本分析!J12)*0.1*0.33+年成本分析!J11*0.1</f>
        <v>#REF!</v>
      </c>
      <c r="Q57" s="120" t="e">
        <f>-(年成本分析!K11+年成本分析!K12)*0.1*0.33+年成本分析!K11*0.1</f>
        <v>#REF!</v>
      </c>
      <c r="R57" s="120" t="e">
        <f>-(年成本分析!L11+年成本分析!L12)*0.1*0.33+年成本分析!L11*0.1</f>
        <v>#REF!</v>
      </c>
      <c r="S57" s="120" t="e">
        <f>-(年成本分析!M11+年成本分析!M12)*0.1*0.33+年成本分析!M11*0.1</f>
        <v>#REF!</v>
      </c>
      <c r="T57" s="120" t="e">
        <f>-(年成本分析!N11+年成本分析!N12)*0.1*0.33+年成本分析!N11*0.1</f>
        <v>#REF!</v>
      </c>
      <c r="U57" s="120" t="e">
        <f>-(年成本分析!O11+年成本分析!O12)*0.1*0.33+年成本分析!O11*0.1</f>
        <v>#REF!</v>
      </c>
      <c r="V57" s="120" t="e">
        <f>-(年成本分析!P11+年成本分析!P12)*0.1*0.33+年成本分析!P11*0.1</f>
        <v>#REF!</v>
      </c>
      <c r="W57" s="120" t="e">
        <f>-(年成本分析!Q11+年成本分析!Q12)*0.1*0.33+年成本分析!Q11*0.1</f>
        <v>#REF!</v>
      </c>
      <c r="X57" s="120" t="e">
        <f>-(年成本分析!R11+年成本分析!R12)*0.1*0.33+年成本分析!R11*0.1</f>
        <v>#REF!</v>
      </c>
      <c r="Y57" s="120" t="e">
        <f>-(年成本分析!S11+年成本分析!S12)*0.1*0.33+年成本分析!S11*0.1</f>
        <v>#REF!</v>
      </c>
      <c r="Z57" s="120" t="e">
        <f>-(年成本分析!T11+年成本分析!T12)*0.1*0.33+年成本分析!T11*0.1</f>
        <v>#REF!</v>
      </c>
      <c r="AA57" s="120" t="e">
        <f>-(年成本分析!U11+年成本分析!U12)*0.1*0.33+年成本分析!U11*0.1</f>
        <v>#REF!</v>
      </c>
      <c r="AB57" s="120" t="e">
        <f>-(年成本分析!V11+年成本分析!V12)*0.1*0.33+年成本分析!V11*0.1</f>
        <v>#REF!</v>
      </c>
      <c r="AC57" s="120" t="e">
        <f>-(年成本分析!W11+年成本分析!W12)*0.1*0.33+年成本分析!W11*0.1</f>
        <v>#REF!</v>
      </c>
      <c r="AD57" s="120" t="e">
        <f>-(年成本分析!X11+年成本分析!X12)*0.1*0.33+年成本分析!X11*0.1</f>
        <v>#REF!</v>
      </c>
      <c r="AE57" s="120" t="e">
        <f>-(年成本分析!Y11+年成本分析!Y12)*0.1*0.33+年成本分析!Y11*0.1</f>
        <v>#REF!</v>
      </c>
      <c r="AF57" s="120" t="e">
        <f>-(年成本分析!Z11+年成本分析!Z12)*0.1*0.33+年成本分析!Z11*0.1</f>
        <v>#REF!</v>
      </c>
      <c r="AG57" s="120" t="e">
        <f>-(年成本分析!AA11+年成本分析!AA12)*0.1*0.33+年成本分析!AA11*0.1</f>
        <v>#REF!</v>
      </c>
      <c r="AH57" s="120" t="e">
        <f>-(年成本分析!AB11+年成本分析!AB12)*0.1*0.33+年成本分析!AB11*0.1</f>
        <v>#REF!</v>
      </c>
      <c r="AI57" s="120">
        <f>-(年成本分析!AC11+年成本分析!AC12)*0.1*0.33+年成本分析!AC11*0.1</f>
        <v>0</v>
      </c>
      <c r="AJ57" s="120">
        <f>-(年成本分析!AD11+年成本分析!AD12)*0.1*0.33+年成本分析!AD11*0.1</f>
        <v>0</v>
      </c>
      <c r="AK57" s="120">
        <f>-(年成本分析!AE11+年成本分析!AE12)*0.1*0.33+年成本分析!AE11*0.1</f>
        <v>0</v>
      </c>
      <c r="AL57" s="120">
        <f>-(年成本分析!AF11+年成本分析!AF12)*0.1*0.33+年成本分析!AF11*0.1</f>
        <v>0</v>
      </c>
      <c r="AM57" s="120">
        <f>-(年成本分析!AG11+年成本分析!AG12)*0.1*0.33+年成本分析!AG11*0.1</f>
        <v>0</v>
      </c>
    </row>
    <row r="58" spans="3:39">
      <c r="C58" s="274" t="e">
        <f>IRR(F58:AM58)</f>
        <v>#VALUE!</v>
      </c>
      <c r="G58" s="275" t="e">
        <f t="shared" ref="G58:AM58" si="29">G26+G57</f>
        <v>#REF!</v>
      </c>
      <c r="H58" s="275" t="e">
        <f t="shared" si="29"/>
        <v>#REF!</v>
      </c>
      <c r="I58" s="275" t="e">
        <f t="shared" si="29"/>
        <v>#REF!</v>
      </c>
      <c r="J58" s="275" t="e">
        <f t="shared" si="29"/>
        <v>#REF!</v>
      </c>
      <c r="K58" s="275" t="e">
        <f t="shared" si="29"/>
        <v>#REF!</v>
      </c>
      <c r="L58" s="275" t="e">
        <f t="shared" si="29"/>
        <v>#REF!</v>
      </c>
      <c r="M58" s="275" t="e">
        <f t="shared" si="29"/>
        <v>#REF!</v>
      </c>
      <c r="N58" s="275" t="e">
        <f t="shared" si="29"/>
        <v>#REF!</v>
      </c>
      <c r="O58" s="275" t="e">
        <f t="shared" si="29"/>
        <v>#REF!</v>
      </c>
      <c r="P58" s="275" t="e">
        <f t="shared" si="29"/>
        <v>#REF!</v>
      </c>
      <c r="Q58" s="275" t="e">
        <f t="shared" si="29"/>
        <v>#REF!</v>
      </c>
      <c r="R58" s="275" t="e">
        <f t="shared" si="29"/>
        <v>#REF!</v>
      </c>
      <c r="S58" s="275" t="e">
        <f t="shared" si="29"/>
        <v>#REF!</v>
      </c>
      <c r="T58" s="275" t="e">
        <f t="shared" si="29"/>
        <v>#REF!</v>
      </c>
      <c r="U58" s="275" t="e">
        <f t="shared" si="29"/>
        <v>#REF!</v>
      </c>
      <c r="V58" s="275" t="e">
        <f t="shared" si="29"/>
        <v>#REF!</v>
      </c>
      <c r="W58" s="275" t="e">
        <f t="shared" si="29"/>
        <v>#REF!</v>
      </c>
      <c r="X58" s="275" t="e">
        <f t="shared" si="29"/>
        <v>#REF!</v>
      </c>
      <c r="Y58" s="275" t="e">
        <f t="shared" si="29"/>
        <v>#REF!</v>
      </c>
      <c r="Z58" s="275" t="e">
        <f t="shared" si="29"/>
        <v>#REF!</v>
      </c>
      <c r="AA58" s="275" t="e">
        <f t="shared" si="29"/>
        <v>#REF!</v>
      </c>
      <c r="AB58" s="275" t="e">
        <f t="shared" si="29"/>
        <v>#REF!</v>
      </c>
      <c r="AC58" s="275" t="e">
        <f t="shared" si="29"/>
        <v>#REF!</v>
      </c>
      <c r="AD58" s="275" t="e">
        <f t="shared" si="29"/>
        <v>#REF!</v>
      </c>
      <c r="AE58" s="275" t="e">
        <f t="shared" si="29"/>
        <v>#REF!</v>
      </c>
      <c r="AF58" s="275" t="e">
        <f t="shared" si="29"/>
        <v>#REF!</v>
      </c>
      <c r="AG58" s="275" t="e">
        <f t="shared" si="29"/>
        <v>#REF!</v>
      </c>
      <c r="AH58" s="275" t="e">
        <f t="shared" si="29"/>
        <v>#REF!</v>
      </c>
      <c r="AI58" s="275">
        <f t="shared" si="29"/>
        <v>0</v>
      </c>
      <c r="AJ58" s="275">
        <f t="shared" si="29"/>
        <v>0</v>
      </c>
      <c r="AK58" s="275">
        <f t="shared" si="29"/>
        <v>0</v>
      </c>
      <c r="AL58" s="275">
        <f t="shared" si="29"/>
        <v>0</v>
      </c>
      <c r="AM58" s="275">
        <f t="shared" si="29"/>
        <v>0</v>
      </c>
    </row>
    <row r="60" spans="2:39">
      <c r="B60" s="2" t="s">
        <v>673</v>
      </c>
      <c r="G60" s="120" t="e">
        <f t="shared" ref="G60:I60" si="30">G15*0.2</f>
        <v>#REF!</v>
      </c>
      <c r="H60" s="120" t="e">
        <f t="shared" si="30"/>
        <v>#REF!</v>
      </c>
      <c r="I60" s="120" t="e">
        <f t="shared" si="30"/>
        <v>#REF!</v>
      </c>
      <c r="J60" s="120" t="e">
        <f>-(年成本分析!D11+年成本分析!D12)*0.2*0.33+年成本分析!D11*0.2</f>
        <v>#REF!</v>
      </c>
      <c r="K60" s="120" t="e">
        <f>-(年成本分析!E11+年成本分析!E12)*0.2*0.33+年成本分析!E11*0.2</f>
        <v>#REF!</v>
      </c>
      <c r="L60" s="120" t="e">
        <f>-(年成本分析!F11+年成本分析!F12)*0.2*0.33+年成本分析!F11*0.2</f>
        <v>#REF!</v>
      </c>
      <c r="M60" s="120" t="e">
        <f>-(年成本分析!G11+年成本分析!G12)*0.2*0.33+年成本分析!G11*0.2</f>
        <v>#REF!</v>
      </c>
      <c r="N60" s="120" t="e">
        <f>-(年成本分析!H11+年成本分析!H12)*0.2*0.33+年成本分析!H11*0.2</f>
        <v>#REF!</v>
      </c>
      <c r="O60" s="120" t="e">
        <f>-(年成本分析!I11+年成本分析!I12)*0.2*0.33+年成本分析!I11*0.2</f>
        <v>#REF!</v>
      </c>
      <c r="P60" s="120" t="e">
        <f>-(年成本分析!J11+年成本分析!J12)*0.2*0.33+年成本分析!J11*0.2</f>
        <v>#REF!</v>
      </c>
      <c r="Q60" s="120" t="e">
        <f>-(年成本分析!K11+年成本分析!K12)*0.2*0.33+年成本分析!K11*0.2</f>
        <v>#REF!</v>
      </c>
      <c r="R60" s="120" t="e">
        <f>-(年成本分析!L11+年成本分析!L12)*0.2*0.33+年成本分析!L11*0.2</f>
        <v>#REF!</v>
      </c>
      <c r="S60" s="120" t="e">
        <f>-(年成本分析!M11+年成本分析!M12)*0.2*0.33+年成本分析!M11*0.2</f>
        <v>#REF!</v>
      </c>
      <c r="T60" s="120" t="e">
        <f>-(年成本分析!N11+年成本分析!N12)*0.2*0.33+年成本分析!N11*0.2</f>
        <v>#REF!</v>
      </c>
      <c r="U60" s="120" t="e">
        <f>-(年成本分析!O11+年成本分析!O12)*0.2*0.33+年成本分析!O11*0.2</f>
        <v>#REF!</v>
      </c>
      <c r="V60" s="120" t="e">
        <f>-(年成本分析!P11+年成本分析!P12)*0.2*0.33+年成本分析!P11*0.2</f>
        <v>#REF!</v>
      </c>
      <c r="W60" s="120" t="e">
        <f>-(年成本分析!Q11+年成本分析!Q12)*0.2*0.33+年成本分析!Q11*0.2</f>
        <v>#REF!</v>
      </c>
      <c r="X60" s="120" t="e">
        <f>-(年成本分析!R11+年成本分析!R12)*0.2*0.33+年成本分析!R11*0.2</f>
        <v>#REF!</v>
      </c>
      <c r="Y60" s="120" t="e">
        <f>-(年成本分析!S11+年成本分析!S12)*0.2*0.33+年成本分析!S11*0.2</f>
        <v>#REF!</v>
      </c>
      <c r="Z60" s="120" t="e">
        <f>-(年成本分析!T11+年成本分析!T12)*0.2*0.33+年成本分析!T11*0.2</f>
        <v>#REF!</v>
      </c>
      <c r="AA60" s="120" t="e">
        <f>-(年成本分析!U11+年成本分析!U12)*0.2*0.33+年成本分析!U11*0.2</f>
        <v>#REF!</v>
      </c>
      <c r="AB60" s="120" t="e">
        <f>-(年成本分析!V11+年成本分析!V12)*0.2*0.33+年成本分析!V11*0.2</f>
        <v>#REF!</v>
      </c>
      <c r="AC60" s="120" t="e">
        <f>-(年成本分析!W11+年成本分析!W12)*0.2*0.33+年成本分析!W11*0.2</f>
        <v>#REF!</v>
      </c>
      <c r="AD60" s="120" t="e">
        <f>-(年成本分析!X11+年成本分析!X12)*0.2*0.33+年成本分析!X11*0.2</f>
        <v>#REF!</v>
      </c>
      <c r="AE60" s="120" t="e">
        <f>-(年成本分析!Y11+年成本分析!Y12)*0.2*0.33+年成本分析!Y11*0.2</f>
        <v>#REF!</v>
      </c>
      <c r="AF60" s="120" t="e">
        <f>-(年成本分析!Z11+年成本分析!Z12)*0.2*0.33+年成本分析!Z11*0.2</f>
        <v>#REF!</v>
      </c>
      <c r="AG60" s="120" t="e">
        <f>-(年成本分析!AA11+年成本分析!AA12)*0.2*0.33+年成本分析!AA11*0.2</f>
        <v>#REF!</v>
      </c>
      <c r="AH60" s="120" t="e">
        <f>-(年成本分析!AB11+年成本分析!AB12)*0.2*0.33+年成本分析!AB11*0.2</f>
        <v>#REF!</v>
      </c>
      <c r="AI60" s="120">
        <f>-(年成本分析!AC11+年成本分析!AC12)*0.2*0.33+年成本分析!AC11*0.2</f>
        <v>0</v>
      </c>
      <c r="AJ60" s="120">
        <f>-(年成本分析!AD11+年成本分析!AD12)*0.2*0.33+年成本分析!AD11*0.2</f>
        <v>0</v>
      </c>
      <c r="AK60" s="120">
        <f>-(年成本分析!AE11+年成本分析!AE12)*0.2*0.33+年成本分析!AE11*0.2</f>
        <v>0</v>
      </c>
      <c r="AL60" s="120">
        <f>-(年成本分析!AF11+年成本分析!AF12)*0.2*0.33+年成本分析!AF11*0.2</f>
        <v>0</v>
      </c>
      <c r="AM60" s="120">
        <f>-(年成本分析!AG11+年成本分析!AG12)*0.2*0.33+年成本分析!AG11*0.2</f>
        <v>0</v>
      </c>
    </row>
    <row r="61" spans="3:39">
      <c r="C61" s="274" t="e">
        <f>IRR(F61:AM61)</f>
        <v>#VALUE!</v>
      </c>
      <c r="G61" s="275" t="e">
        <f t="shared" ref="G61:AM61" si="31">G26+G60</f>
        <v>#REF!</v>
      </c>
      <c r="H61" s="275" t="e">
        <f t="shared" si="31"/>
        <v>#REF!</v>
      </c>
      <c r="I61" s="275" t="e">
        <f t="shared" si="31"/>
        <v>#REF!</v>
      </c>
      <c r="J61" s="275" t="e">
        <f t="shared" si="31"/>
        <v>#REF!</v>
      </c>
      <c r="K61" s="275" t="e">
        <f t="shared" si="31"/>
        <v>#REF!</v>
      </c>
      <c r="L61" s="275" t="e">
        <f t="shared" si="31"/>
        <v>#REF!</v>
      </c>
      <c r="M61" s="275" t="e">
        <f t="shared" si="31"/>
        <v>#REF!</v>
      </c>
      <c r="N61" s="275" t="e">
        <f t="shared" si="31"/>
        <v>#REF!</v>
      </c>
      <c r="O61" s="275" t="e">
        <f t="shared" si="31"/>
        <v>#REF!</v>
      </c>
      <c r="P61" s="275" t="e">
        <f t="shared" si="31"/>
        <v>#REF!</v>
      </c>
      <c r="Q61" s="275" t="e">
        <f t="shared" si="31"/>
        <v>#REF!</v>
      </c>
      <c r="R61" s="275" t="e">
        <f t="shared" si="31"/>
        <v>#REF!</v>
      </c>
      <c r="S61" s="275" t="e">
        <f t="shared" si="31"/>
        <v>#REF!</v>
      </c>
      <c r="T61" s="275" t="e">
        <f t="shared" si="31"/>
        <v>#REF!</v>
      </c>
      <c r="U61" s="275" t="e">
        <f t="shared" si="31"/>
        <v>#REF!</v>
      </c>
      <c r="V61" s="275" t="e">
        <f t="shared" si="31"/>
        <v>#REF!</v>
      </c>
      <c r="W61" s="275" t="e">
        <f t="shared" si="31"/>
        <v>#REF!</v>
      </c>
      <c r="X61" s="275" t="e">
        <f t="shared" si="31"/>
        <v>#REF!</v>
      </c>
      <c r="Y61" s="275" t="e">
        <f t="shared" si="31"/>
        <v>#REF!</v>
      </c>
      <c r="Z61" s="275" t="e">
        <f t="shared" si="31"/>
        <v>#REF!</v>
      </c>
      <c r="AA61" s="275" t="e">
        <f t="shared" si="31"/>
        <v>#REF!</v>
      </c>
      <c r="AB61" s="275" t="e">
        <f t="shared" si="31"/>
        <v>#REF!</v>
      </c>
      <c r="AC61" s="275" t="e">
        <f t="shared" si="31"/>
        <v>#REF!</v>
      </c>
      <c r="AD61" s="275" t="e">
        <f t="shared" si="31"/>
        <v>#REF!</v>
      </c>
      <c r="AE61" s="275" t="e">
        <f t="shared" si="31"/>
        <v>#REF!</v>
      </c>
      <c r="AF61" s="275" t="e">
        <f t="shared" si="31"/>
        <v>#REF!</v>
      </c>
      <c r="AG61" s="275" t="e">
        <f t="shared" si="31"/>
        <v>#REF!</v>
      </c>
      <c r="AH61" s="275" t="e">
        <f t="shared" si="31"/>
        <v>#REF!</v>
      </c>
      <c r="AI61" s="275">
        <f t="shared" si="31"/>
        <v>0</v>
      </c>
      <c r="AJ61" s="275">
        <f t="shared" si="31"/>
        <v>0</v>
      </c>
      <c r="AK61" s="275">
        <f t="shared" si="31"/>
        <v>0</v>
      </c>
      <c r="AL61" s="275">
        <f t="shared" si="31"/>
        <v>0</v>
      </c>
      <c r="AM61" s="275">
        <f t="shared" si="31"/>
        <v>0</v>
      </c>
    </row>
    <row r="63" spans="2:39">
      <c r="B63" s="2" t="s">
        <v>674</v>
      </c>
      <c r="G63" s="120" t="e">
        <f t="shared" ref="G63:I63" si="32">-G15*0.1</f>
        <v>#REF!</v>
      </c>
      <c r="H63" s="120" t="e">
        <f t="shared" si="32"/>
        <v>#REF!</v>
      </c>
      <c r="I63" s="120" t="e">
        <f t="shared" si="32"/>
        <v>#REF!</v>
      </c>
      <c r="J63" s="120" t="e">
        <f>(年成本分析!D11+年成本分析!D12)*0.1*0.33-年成本分析!D11*0.1</f>
        <v>#REF!</v>
      </c>
      <c r="K63" s="120" t="e">
        <f>(年成本分析!E11+年成本分析!E12)*0.1*0.33-年成本分析!E11*0.1</f>
        <v>#REF!</v>
      </c>
      <c r="L63" s="120" t="e">
        <f>(年成本分析!F11+年成本分析!F12)*0.1*0.33-年成本分析!F11*0.1</f>
        <v>#REF!</v>
      </c>
      <c r="M63" s="120" t="e">
        <f>(年成本分析!G11+年成本分析!G12)*0.1*0.33-年成本分析!G11*0.1</f>
        <v>#REF!</v>
      </c>
      <c r="N63" s="120" t="e">
        <f>(年成本分析!H11+年成本分析!H12)*0.1*0.33-年成本分析!H11*0.1</f>
        <v>#REF!</v>
      </c>
      <c r="O63" s="120" t="e">
        <f>(年成本分析!I11+年成本分析!I12)*0.1*0.33-年成本分析!I11*0.1</f>
        <v>#REF!</v>
      </c>
      <c r="P63" s="120" t="e">
        <f>(年成本分析!J11+年成本分析!J12)*0.1*0.33-年成本分析!J11*0.1</f>
        <v>#REF!</v>
      </c>
      <c r="Q63" s="120" t="e">
        <f>(年成本分析!K11+年成本分析!K12)*0.1*0.33-年成本分析!K11*0.1</f>
        <v>#REF!</v>
      </c>
      <c r="R63" s="120" t="e">
        <f>(年成本分析!L11+年成本分析!L12)*0.1*0.33-年成本分析!L11*0.1</f>
        <v>#REF!</v>
      </c>
      <c r="S63" s="120" t="e">
        <f>(年成本分析!M11+年成本分析!M12)*0.1*0.33-年成本分析!M11*0.1</f>
        <v>#REF!</v>
      </c>
      <c r="T63" s="120" t="e">
        <f>(年成本分析!N11+年成本分析!N12)*0.1*0.33-年成本分析!N11*0.1</f>
        <v>#REF!</v>
      </c>
      <c r="U63" s="120" t="e">
        <f>(年成本分析!O11+年成本分析!O12)*0.1*0.33-年成本分析!O11*0.1</f>
        <v>#REF!</v>
      </c>
      <c r="V63" s="120" t="e">
        <f>(年成本分析!P11+年成本分析!P12)*0.1*0.33-年成本分析!P11*0.1</f>
        <v>#REF!</v>
      </c>
      <c r="W63" s="120" t="e">
        <f>(年成本分析!Q11+年成本分析!Q12)*0.1*0.33-年成本分析!Q11*0.1</f>
        <v>#REF!</v>
      </c>
      <c r="X63" s="120" t="e">
        <f>(年成本分析!R11+年成本分析!R12)*0.1*0.33-年成本分析!R11*0.1</f>
        <v>#REF!</v>
      </c>
      <c r="Y63" s="120" t="e">
        <f>(年成本分析!S11+年成本分析!S12)*0.1*0.33-年成本分析!S11*0.1</f>
        <v>#REF!</v>
      </c>
      <c r="Z63" s="120" t="e">
        <f>(年成本分析!T11+年成本分析!T12)*0.1*0.33-年成本分析!T11*0.1</f>
        <v>#REF!</v>
      </c>
      <c r="AA63" s="120" t="e">
        <f>(年成本分析!U11+年成本分析!U12)*0.1*0.33-年成本分析!U11*0.1</f>
        <v>#REF!</v>
      </c>
      <c r="AB63" s="120" t="e">
        <f>(年成本分析!V11+年成本分析!V12)*0.1*0.33-年成本分析!V11*0.1</f>
        <v>#REF!</v>
      </c>
      <c r="AC63" s="120" t="e">
        <f>(年成本分析!W11+年成本分析!W12)*0.1*0.33-年成本分析!W11*0.1</f>
        <v>#REF!</v>
      </c>
      <c r="AD63" s="120" t="e">
        <f>(年成本分析!X11+年成本分析!X12)*0.1*0.33-年成本分析!X11*0.1</f>
        <v>#REF!</v>
      </c>
      <c r="AE63" s="120" t="e">
        <f>(年成本分析!Y11+年成本分析!Y12)*0.1*0.33-年成本分析!Y11*0.1</f>
        <v>#REF!</v>
      </c>
      <c r="AF63" s="120" t="e">
        <f>(年成本分析!Z11+年成本分析!Z12)*0.1*0.33-年成本分析!Z11*0.1</f>
        <v>#REF!</v>
      </c>
      <c r="AG63" s="120" t="e">
        <f>(年成本分析!AA11+年成本分析!AA12)*0.1*0.33-年成本分析!AA11*0.1</f>
        <v>#REF!</v>
      </c>
      <c r="AH63" s="120" t="e">
        <f>(年成本分析!AB11+年成本分析!AB12)*0.1*0.33-年成本分析!AB11*0.1</f>
        <v>#REF!</v>
      </c>
      <c r="AI63" s="120">
        <f>(年成本分析!AC11+年成本分析!AC12)*0.1*0.33-年成本分析!AC11*0.1</f>
        <v>0</v>
      </c>
      <c r="AJ63" s="120">
        <f>(年成本分析!AD11+年成本分析!AD12)*0.1*0.33-年成本分析!AD11*0.1</f>
        <v>0</v>
      </c>
      <c r="AK63" s="120">
        <f>(年成本分析!AE11+年成本分析!AE12)*0.1*0.33-年成本分析!AE11*0.1</f>
        <v>0</v>
      </c>
      <c r="AL63" s="120">
        <f>(年成本分析!AF11+年成本分析!AF12)*0.1*0.33-年成本分析!AF11*0.1</f>
        <v>0</v>
      </c>
      <c r="AM63" s="120">
        <f>(年成本分析!AG11+年成本分析!AG12)*0.1*0.33-年成本分析!AG11*0.1</f>
        <v>0</v>
      </c>
    </row>
    <row r="64" spans="3:39">
      <c r="C64" s="274" t="e">
        <f>IRR(F64:AM64)</f>
        <v>#VALUE!</v>
      </c>
      <c r="G64" s="275" t="e">
        <f t="shared" ref="G64:AM64" si="33">G26+G63</f>
        <v>#REF!</v>
      </c>
      <c r="H64" s="275" t="e">
        <f t="shared" si="33"/>
        <v>#REF!</v>
      </c>
      <c r="I64" s="275" t="e">
        <f t="shared" si="33"/>
        <v>#REF!</v>
      </c>
      <c r="J64" s="275" t="e">
        <f t="shared" si="33"/>
        <v>#REF!</v>
      </c>
      <c r="K64" s="275" t="e">
        <f t="shared" si="33"/>
        <v>#REF!</v>
      </c>
      <c r="L64" s="275" t="e">
        <f t="shared" si="33"/>
        <v>#REF!</v>
      </c>
      <c r="M64" s="275" t="e">
        <f t="shared" si="33"/>
        <v>#REF!</v>
      </c>
      <c r="N64" s="275" t="e">
        <f t="shared" si="33"/>
        <v>#REF!</v>
      </c>
      <c r="O64" s="275" t="e">
        <f t="shared" si="33"/>
        <v>#REF!</v>
      </c>
      <c r="P64" s="275" t="e">
        <f t="shared" si="33"/>
        <v>#REF!</v>
      </c>
      <c r="Q64" s="275" t="e">
        <f t="shared" si="33"/>
        <v>#REF!</v>
      </c>
      <c r="R64" s="275" t="e">
        <f t="shared" si="33"/>
        <v>#REF!</v>
      </c>
      <c r="S64" s="275" t="e">
        <f t="shared" si="33"/>
        <v>#REF!</v>
      </c>
      <c r="T64" s="275" t="e">
        <f t="shared" si="33"/>
        <v>#REF!</v>
      </c>
      <c r="U64" s="275" t="e">
        <f t="shared" si="33"/>
        <v>#REF!</v>
      </c>
      <c r="V64" s="275" t="e">
        <f t="shared" si="33"/>
        <v>#REF!</v>
      </c>
      <c r="W64" s="275" t="e">
        <f t="shared" si="33"/>
        <v>#REF!</v>
      </c>
      <c r="X64" s="275" t="e">
        <f t="shared" si="33"/>
        <v>#REF!</v>
      </c>
      <c r="Y64" s="275" t="e">
        <f t="shared" si="33"/>
        <v>#REF!</v>
      </c>
      <c r="Z64" s="275" t="e">
        <f t="shared" si="33"/>
        <v>#REF!</v>
      </c>
      <c r="AA64" s="275" t="e">
        <f t="shared" si="33"/>
        <v>#REF!</v>
      </c>
      <c r="AB64" s="275" t="e">
        <f t="shared" si="33"/>
        <v>#REF!</v>
      </c>
      <c r="AC64" s="275" t="e">
        <f t="shared" si="33"/>
        <v>#REF!</v>
      </c>
      <c r="AD64" s="275" t="e">
        <f t="shared" si="33"/>
        <v>#REF!</v>
      </c>
      <c r="AE64" s="275" t="e">
        <f t="shared" si="33"/>
        <v>#REF!</v>
      </c>
      <c r="AF64" s="275" t="e">
        <f t="shared" si="33"/>
        <v>#REF!</v>
      </c>
      <c r="AG64" s="275" t="e">
        <f t="shared" si="33"/>
        <v>#REF!</v>
      </c>
      <c r="AH64" s="275" t="e">
        <f t="shared" si="33"/>
        <v>#REF!</v>
      </c>
      <c r="AI64" s="275">
        <f t="shared" si="33"/>
        <v>0</v>
      </c>
      <c r="AJ64" s="275">
        <f t="shared" si="33"/>
        <v>0</v>
      </c>
      <c r="AK64" s="275">
        <f t="shared" si="33"/>
        <v>0</v>
      </c>
      <c r="AL64" s="275">
        <f t="shared" si="33"/>
        <v>0</v>
      </c>
      <c r="AM64" s="275">
        <f t="shared" si="33"/>
        <v>0</v>
      </c>
    </row>
    <row r="66" spans="2:39">
      <c r="B66" s="2" t="s">
        <v>675</v>
      </c>
      <c r="G66" s="120" t="e">
        <f t="shared" ref="G66:I66" si="34">-G15*0.2</f>
        <v>#REF!</v>
      </c>
      <c r="H66" s="120" t="e">
        <f t="shared" si="34"/>
        <v>#REF!</v>
      </c>
      <c r="I66" s="120" t="e">
        <f t="shared" si="34"/>
        <v>#REF!</v>
      </c>
      <c r="J66" s="120" t="e">
        <f>(年成本分析!D11+年成本分析!D12)*0.2*0.33-年成本分析!D11*0.2</f>
        <v>#REF!</v>
      </c>
      <c r="K66" s="120" t="e">
        <f>(年成本分析!E11+年成本分析!E12)*0.2*0.33-年成本分析!E11*0.2</f>
        <v>#REF!</v>
      </c>
      <c r="L66" s="120" t="e">
        <f>(年成本分析!F11+年成本分析!F12)*0.2*0.33-年成本分析!F11*0.2</f>
        <v>#REF!</v>
      </c>
      <c r="M66" s="120" t="e">
        <f>(年成本分析!G11+年成本分析!G12)*0.2*0.33-年成本分析!G11*0.2</f>
        <v>#REF!</v>
      </c>
      <c r="N66" s="120" t="e">
        <f>(年成本分析!H11+年成本分析!H12)*0.2*0.33-年成本分析!H11*0.2</f>
        <v>#REF!</v>
      </c>
      <c r="O66" s="120" t="e">
        <f>(年成本分析!I11+年成本分析!I12)*0.2*0.33-年成本分析!I11*0.2</f>
        <v>#REF!</v>
      </c>
      <c r="P66" s="120" t="e">
        <f>(年成本分析!J11+年成本分析!J12)*0.2*0.33-年成本分析!J11*0.2</f>
        <v>#REF!</v>
      </c>
      <c r="Q66" s="120" t="e">
        <f>(年成本分析!K11+年成本分析!K12)*0.2*0.33-年成本分析!K11*0.2</f>
        <v>#REF!</v>
      </c>
      <c r="R66" s="120" t="e">
        <f>(年成本分析!L11+年成本分析!L12)*0.2*0.33-年成本分析!L11*0.2</f>
        <v>#REF!</v>
      </c>
      <c r="S66" s="120" t="e">
        <f>(年成本分析!M11+年成本分析!M12)*0.2*0.33-年成本分析!M11*0.2</f>
        <v>#REF!</v>
      </c>
      <c r="T66" s="120" t="e">
        <f>(年成本分析!N11+年成本分析!N12)*0.2*0.33-年成本分析!N11*0.2</f>
        <v>#REF!</v>
      </c>
      <c r="U66" s="120" t="e">
        <f>(年成本分析!O11+年成本分析!O12)*0.2*0.33-年成本分析!O11*0.2</f>
        <v>#REF!</v>
      </c>
      <c r="V66" s="120" t="e">
        <f>(年成本分析!P11+年成本分析!P12)*0.2*0.33-年成本分析!P11*0.2</f>
        <v>#REF!</v>
      </c>
      <c r="W66" s="120" t="e">
        <f>(年成本分析!Q11+年成本分析!Q12)*0.2*0.33-年成本分析!Q11*0.2</f>
        <v>#REF!</v>
      </c>
      <c r="X66" s="120" t="e">
        <f>(年成本分析!R11+年成本分析!R12)*0.2*0.33-年成本分析!R11*0.2</f>
        <v>#REF!</v>
      </c>
      <c r="Y66" s="120" t="e">
        <f>(年成本分析!S11+年成本分析!S12)*0.2*0.33-年成本分析!S11*0.2</f>
        <v>#REF!</v>
      </c>
      <c r="Z66" s="120" t="e">
        <f>(年成本分析!T11+年成本分析!T12)*0.2*0.33-年成本分析!T11*0.2</f>
        <v>#REF!</v>
      </c>
      <c r="AA66" s="120" t="e">
        <f>(年成本分析!U11+年成本分析!U12)*0.2*0.33-年成本分析!U11*0.2</f>
        <v>#REF!</v>
      </c>
      <c r="AB66" s="120" t="e">
        <f>(年成本分析!V11+年成本分析!V12)*0.2*0.33-年成本分析!V11*0.2</f>
        <v>#REF!</v>
      </c>
      <c r="AC66" s="120" t="e">
        <f>(年成本分析!W11+年成本分析!W12)*0.2*0.33-年成本分析!W11*0.2</f>
        <v>#REF!</v>
      </c>
      <c r="AD66" s="120" t="e">
        <f>(年成本分析!X11+年成本分析!X12)*0.2*0.33-年成本分析!X11*0.2</f>
        <v>#REF!</v>
      </c>
      <c r="AE66" s="120" t="e">
        <f>(年成本分析!Y11+年成本分析!Y12)*0.2*0.33-年成本分析!Y11*0.2</f>
        <v>#REF!</v>
      </c>
      <c r="AF66" s="120" t="e">
        <f>(年成本分析!Z11+年成本分析!Z12)*0.2*0.33-年成本分析!Z11*0.2</f>
        <v>#REF!</v>
      </c>
      <c r="AG66" s="120" t="e">
        <f>(年成本分析!AA11+年成本分析!AA12)*0.2*0.33-年成本分析!AA11*0.2</f>
        <v>#REF!</v>
      </c>
      <c r="AH66" s="120" t="e">
        <f>(年成本分析!AB11+年成本分析!AB12)*0.2*0.33-年成本分析!AB11*0.2</f>
        <v>#REF!</v>
      </c>
      <c r="AI66" s="120">
        <f>(年成本分析!AC11+年成本分析!AC12)*0.2*0.33-年成本分析!AC11*0.2</f>
        <v>0</v>
      </c>
      <c r="AJ66" s="120">
        <f>(年成本分析!AD11+年成本分析!AD12)*0.2*0.33-年成本分析!AD11*0.2</f>
        <v>0</v>
      </c>
      <c r="AK66" s="120">
        <f>(年成本分析!AE11+年成本分析!AE12)*0.2*0.33-年成本分析!AE11*0.2</f>
        <v>0</v>
      </c>
      <c r="AL66" s="120">
        <f>(年成本分析!AF11+年成本分析!AF12)*0.2*0.33-年成本分析!AF11*0.2</f>
        <v>0</v>
      </c>
      <c r="AM66" s="120">
        <f>(年成本分析!AG11+年成本分析!AG12)*0.2*0.33-年成本分析!AG11*0.2</f>
        <v>0</v>
      </c>
    </row>
    <row r="67" spans="3:39">
      <c r="C67" s="274" t="e">
        <f>IRR(F67:AM67)</f>
        <v>#VALUE!</v>
      </c>
      <c r="G67" s="275" t="e">
        <f t="shared" ref="G67:AM67" si="35">G26+G66</f>
        <v>#REF!</v>
      </c>
      <c r="H67" s="275" t="e">
        <f t="shared" si="35"/>
        <v>#REF!</v>
      </c>
      <c r="I67" s="275" t="e">
        <f t="shared" si="35"/>
        <v>#REF!</v>
      </c>
      <c r="J67" s="275" t="e">
        <f t="shared" si="35"/>
        <v>#REF!</v>
      </c>
      <c r="K67" s="275" t="e">
        <f t="shared" si="35"/>
        <v>#REF!</v>
      </c>
      <c r="L67" s="275" t="e">
        <f t="shared" si="35"/>
        <v>#REF!</v>
      </c>
      <c r="M67" s="275" t="e">
        <f t="shared" si="35"/>
        <v>#REF!</v>
      </c>
      <c r="N67" s="275" t="e">
        <f t="shared" si="35"/>
        <v>#REF!</v>
      </c>
      <c r="O67" s="275" t="e">
        <f t="shared" si="35"/>
        <v>#REF!</v>
      </c>
      <c r="P67" s="275" t="e">
        <f t="shared" si="35"/>
        <v>#REF!</v>
      </c>
      <c r="Q67" s="275" t="e">
        <f t="shared" si="35"/>
        <v>#REF!</v>
      </c>
      <c r="R67" s="275" t="e">
        <f t="shared" si="35"/>
        <v>#REF!</v>
      </c>
      <c r="S67" s="275" t="e">
        <f t="shared" si="35"/>
        <v>#REF!</v>
      </c>
      <c r="T67" s="275" t="e">
        <f t="shared" si="35"/>
        <v>#REF!</v>
      </c>
      <c r="U67" s="275" t="e">
        <f t="shared" si="35"/>
        <v>#REF!</v>
      </c>
      <c r="V67" s="275" t="e">
        <f t="shared" si="35"/>
        <v>#REF!</v>
      </c>
      <c r="W67" s="275" t="e">
        <f t="shared" si="35"/>
        <v>#REF!</v>
      </c>
      <c r="X67" s="275" t="e">
        <f t="shared" si="35"/>
        <v>#REF!</v>
      </c>
      <c r="Y67" s="275" t="e">
        <f t="shared" si="35"/>
        <v>#REF!</v>
      </c>
      <c r="Z67" s="275" t="e">
        <f t="shared" si="35"/>
        <v>#REF!</v>
      </c>
      <c r="AA67" s="275" t="e">
        <f t="shared" si="35"/>
        <v>#REF!</v>
      </c>
      <c r="AB67" s="275" t="e">
        <f t="shared" si="35"/>
        <v>#REF!</v>
      </c>
      <c r="AC67" s="275" t="e">
        <f t="shared" si="35"/>
        <v>#REF!</v>
      </c>
      <c r="AD67" s="275" t="e">
        <f t="shared" si="35"/>
        <v>#REF!</v>
      </c>
      <c r="AE67" s="275" t="e">
        <f t="shared" si="35"/>
        <v>#REF!</v>
      </c>
      <c r="AF67" s="275" t="e">
        <f t="shared" si="35"/>
        <v>#REF!</v>
      </c>
      <c r="AG67" s="275" t="e">
        <f t="shared" si="35"/>
        <v>#REF!</v>
      </c>
      <c r="AH67" s="275" t="e">
        <f t="shared" si="35"/>
        <v>#REF!</v>
      </c>
      <c r="AI67" s="275">
        <f t="shared" si="35"/>
        <v>0</v>
      </c>
      <c r="AJ67" s="275">
        <f t="shared" si="35"/>
        <v>0</v>
      </c>
      <c r="AK67" s="275">
        <f t="shared" si="35"/>
        <v>0</v>
      </c>
      <c r="AL67" s="275">
        <f t="shared" si="35"/>
        <v>0</v>
      </c>
      <c r="AM67" s="275">
        <f t="shared" si="35"/>
        <v>0</v>
      </c>
    </row>
    <row r="69" spans="2:39">
      <c r="B69" s="2" t="s">
        <v>676</v>
      </c>
      <c r="J69" s="120" t="e">
        <f t="shared" ref="J69:AM69" si="36">J17*0.1*(1-0.33)</f>
        <v>#REF!</v>
      </c>
      <c r="K69" s="120" t="e">
        <f t="shared" si="36"/>
        <v>#REF!</v>
      </c>
      <c r="L69" s="120" t="e">
        <f t="shared" si="36"/>
        <v>#REF!</v>
      </c>
      <c r="M69" s="120" t="e">
        <f t="shared" si="36"/>
        <v>#REF!</v>
      </c>
      <c r="N69" s="120" t="e">
        <f t="shared" si="36"/>
        <v>#REF!</v>
      </c>
      <c r="O69" s="120" t="e">
        <f t="shared" si="36"/>
        <v>#REF!</v>
      </c>
      <c r="P69" s="120" t="e">
        <f t="shared" si="36"/>
        <v>#REF!</v>
      </c>
      <c r="Q69" s="120" t="e">
        <f t="shared" si="36"/>
        <v>#REF!</v>
      </c>
      <c r="R69" s="120" t="e">
        <f t="shared" si="36"/>
        <v>#REF!</v>
      </c>
      <c r="S69" s="120" t="e">
        <f t="shared" si="36"/>
        <v>#REF!</v>
      </c>
      <c r="T69" s="120" t="e">
        <f t="shared" si="36"/>
        <v>#REF!</v>
      </c>
      <c r="U69" s="120" t="e">
        <f t="shared" si="36"/>
        <v>#REF!</v>
      </c>
      <c r="V69" s="120" t="e">
        <f t="shared" si="36"/>
        <v>#REF!</v>
      </c>
      <c r="W69" s="120" t="e">
        <f t="shared" si="36"/>
        <v>#REF!</v>
      </c>
      <c r="X69" s="120" t="e">
        <f t="shared" si="36"/>
        <v>#REF!</v>
      </c>
      <c r="Y69" s="120" t="e">
        <f t="shared" si="36"/>
        <v>#REF!</v>
      </c>
      <c r="Z69" s="120" t="e">
        <f t="shared" si="36"/>
        <v>#REF!</v>
      </c>
      <c r="AA69" s="120" t="e">
        <f t="shared" si="36"/>
        <v>#REF!</v>
      </c>
      <c r="AB69" s="120" t="e">
        <f t="shared" si="36"/>
        <v>#REF!</v>
      </c>
      <c r="AC69" s="120" t="e">
        <f t="shared" si="36"/>
        <v>#REF!</v>
      </c>
      <c r="AD69" s="120" t="e">
        <f t="shared" si="36"/>
        <v>#REF!</v>
      </c>
      <c r="AE69" s="120" t="e">
        <f t="shared" si="36"/>
        <v>#REF!</v>
      </c>
      <c r="AF69" s="120" t="e">
        <f t="shared" si="36"/>
        <v>#REF!</v>
      </c>
      <c r="AG69" s="120" t="e">
        <f t="shared" si="36"/>
        <v>#REF!</v>
      </c>
      <c r="AH69" s="120" t="e">
        <f t="shared" si="36"/>
        <v>#REF!</v>
      </c>
      <c r="AI69" s="120">
        <f t="shared" si="36"/>
        <v>0</v>
      </c>
      <c r="AJ69" s="120">
        <f t="shared" si="36"/>
        <v>0</v>
      </c>
      <c r="AK69" s="120">
        <f t="shared" si="36"/>
        <v>0</v>
      </c>
      <c r="AL69" s="120">
        <f t="shared" si="36"/>
        <v>0</v>
      </c>
      <c r="AM69" s="120">
        <f t="shared" si="36"/>
        <v>0</v>
      </c>
    </row>
    <row r="70" spans="3:39">
      <c r="C70" s="274" t="e">
        <f>IRR(F70:AM70)</f>
        <v>#VALUE!</v>
      </c>
      <c r="G70" s="275" t="e">
        <f t="shared" ref="G70:AM70" si="37">G26+G69</f>
        <v>#REF!</v>
      </c>
      <c r="H70" s="275" t="e">
        <f t="shared" si="37"/>
        <v>#REF!</v>
      </c>
      <c r="I70" s="275" t="e">
        <f t="shared" si="37"/>
        <v>#REF!</v>
      </c>
      <c r="J70" s="275" t="e">
        <f t="shared" si="37"/>
        <v>#REF!</v>
      </c>
      <c r="K70" s="275" t="e">
        <f t="shared" si="37"/>
        <v>#REF!</v>
      </c>
      <c r="L70" s="275" t="e">
        <f t="shared" si="37"/>
        <v>#REF!</v>
      </c>
      <c r="M70" s="275" t="e">
        <f t="shared" si="37"/>
        <v>#REF!</v>
      </c>
      <c r="N70" s="275" t="e">
        <f t="shared" si="37"/>
        <v>#REF!</v>
      </c>
      <c r="O70" s="275" t="e">
        <f t="shared" si="37"/>
        <v>#REF!</v>
      </c>
      <c r="P70" s="275" t="e">
        <f t="shared" si="37"/>
        <v>#REF!</v>
      </c>
      <c r="Q70" s="275" t="e">
        <f t="shared" si="37"/>
        <v>#REF!</v>
      </c>
      <c r="R70" s="275" t="e">
        <f t="shared" si="37"/>
        <v>#REF!</v>
      </c>
      <c r="S70" s="275" t="e">
        <f t="shared" si="37"/>
        <v>#REF!</v>
      </c>
      <c r="T70" s="275" t="e">
        <f t="shared" si="37"/>
        <v>#REF!</v>
      </c>
      <c r="U70" s="275" t="e">
        <f t="shared" si="37"/>
        <v>#REF!</v>
      </c>
      <c r="V70" s="275" t="e">
        <f t="shared" si="37"/>
        <v>#REF!</v>
      </c>
      <c r="W70" s="275" t="e">
        <f t="shared" si="37"/>
        <v>#REF!</v>
      </c>
      <c r="X70" s="275" t="e">
        <f t="shared" si="37"/>
        <v>#REF!</v>
      </c>
      <c r="Y70" s="275" t="e">
        <f t="shared" si="37"/>
        <v>#REF!</v>
      </c>
      <c r="Z70" s="275" t="e">
        <f t="shared" si="37"/>
        <v>#REF!</v>
      </c>
      <c r="AA70" s="275" t="e">
        <f t="shared" si="37"/>
        <v>#REF!</v>
      </c>
      <c r="AB70" s="275" t="e">
        <f t="shared" si="37"/>
        <v>#REF!</v>
      </c>
      <c r="AC70" s="275" t="e">
        <f t="shared" si="37"/>
        <v>#REF!</v>
      </c>
      <c r="AD70" s="275" t="e">
        <f t="shared" si="37"/>
        <v>#REF!</v>
      </c>
      <c r="AE70" s="275" t="e">
        <f t="shared" si="37"/>
        <v>#REF!</v>
      </c>
      <c r="AF70" s="275" t="e">
        <f t="shared" si="37"/>
        <v>#REF!</v>
      </c>
      <c r="AG70" s="275" t="e">
        <f t="shared" si="37"/>
        <v>#REF!</v>
      </c>
      <c r="AH70" s="275" t="e">
        <f t="shared" si="37"/>
        <v>#REF!</v>
      </c>
      <c r="AI70" s="275">
        <f t="shared" si="37"/>
        <v>0</v>
      </c>
      <c r="AJ70" s="275">
        <f t="shared" si="37"/>
        <v>0</v>
      </c>
      <c r="AK70" s="275">
        <f t="shared" si="37"/>
        <v>0</v>
      </c>
      <c r="AL70" s="275">
        <f t="shared" si="37"/>
        <v>0</v>
      </c>
      <c r="AM70" s="275">
        <f t="shared" si="37"/>
        <v>0</v>
      </c>
    </row>
    <row r="72" spans="2:39">
      <c r="B72" s="2" t="s">
        <v>677</v>
      </c>
      <c r="J72" s="120" t="e">
        <f t="shared" ref="J72:AM72" si="38">J17*0.2*(1-0.33)</f>
        <v>#REF!</v>
      </c>
      <c r="K72" s="120" t="e">
        <f t="shared" si="38"/>
        <v>#REF!</v>
      </c>
      <c r="L72" s="120" t="e">
        <f t="shared" si="38"/>
        <v>#REF!</v>
      </c>
      <c r="M72" s="120" t="e">
        <f t="shared" si="38"/>
        <v>#REF!</v>
      </c>
      <c r="N72" s="120" t="e">
        <f t="shared" si="38"/>
        <v>#REF!</v>
      </c>
      <c r="O72" s="120" t="e">
        <f t="shared" si="38"/>
        <v>#REF!</v>
      </c>
      <c r="P72" s="120" t="e">
        <f t="shared" si="38"/>
        <v>#REF!</v>
      </c>
      <c r="Q72" s="120" t="e">
        <f t="shared" si="38"/>
        <v>#REF!</v>
      </c>
      <c r="R72" s="120" t="e">
        <f t="shared" si="38"/>
        <v>#REF!</v>
      </c>
      <c r="S72" s="120" t="e">
        <f t="shared" si="38"/>
        <v>#REF!</v>
      </c>
      <c r="T72" s="120" t="e">
        <f t="shared" si="38"/>
        <v>#REF!</v>
      </c>
      <c r="U72" s="120" t="e">
        <f t="shared" si="38"/>
        <v>#REF!</v>
      </c>
      <c r="V72" s="120" t="e">
        <f t="shared" si="38"/>
        <v>#REF!</v>
      </c>
      <c r="W72" s="120" t="e">
        <f t="shared" si="38"/>
        <v>#REF!</v>
      </c>
      <c r="X72" s="120" t="e">
        <f t="shared" si="38"/>
        <v>#REF!</v>
      </c>
      <c r="Y72" s="120" t="e">
        <f t="shared" si="38"/>
        <v>#REF!</v>
      </c>
      <c r="Z72" s="120" t="e">
        <f t="shared" si="38"/>
        <v>#REF!</v>
      </c>
      <c r="AA72" s="120" t="e">
        <f t="shared" si="38"/>
        <v>#REF!</v>
      </c>
      <c r="AB72" s="120" t="e">
        <f t="shared" si="38"/>
        <v>#REF!</v>
      </c>
      <c r="AC72" s="120" t="e">
        <f t="shared" si="38"/>
        <v>#REF!</v>
      </c>
      <c r="AD72" s="120" t="e">
        <f t="shared" si="38"/>
        <v>#REF!</v>
      </c>
      <c r="AE72" s="120" t="e">
        <f t="shared" si="38"/>
        <v>#REF!</v>
      </c>
      <c r="AF72" s="120" t="e">
        <f t="shared" si="38"/>
        <v>#REF!</v>
      </c>
      <c r="AG72" s="120" t="e">
        <f t="shared" si="38"/>
        <v>#REF!</v>
      </c>
      <c r="AH72" s="120" t="e">
        <f t="shared" si="38"/>
        <v>#REF!</v>
      </c>
      <c r="AI72" s="120">
        <f t="shared" si="38"/>
        <v>0</v>
      </c>
      <c r="AJ72" s="120">
        <f t="shared" si="38"/>
        <v>0</v>
      </c>
      <c r="AK72" s="120">
        <f t="shared" si="38"/>
        <v>0</v>
      </c>
      <c r="AL72" s="120">
        <f t="shared" si="38"/>
        <v>0</v>
      </c>
      <c r="AM72" s="120">
        <f t="shared" si="38"/>
        <v>0</v>
      </c>
    </row>
    <row r="73" spans="3:39">
      <c r="C73" s="274" t="e">
        <f>IRR(F73:AM73)</f>
        <v>#VALUE!</v>
      </c>
      <c r="G73" s="275" t="e">
        <f t="shared" ref="G73:AM73" si="39">G26+G72</f>
        <v>#REF!</v>
      </c>
      <c r="H73" s="275" t="e">
        <f t="shared" si="39"/>
        <v>#REF!</v>
      </c>
      <c r="I73" s="275" t="e">
        <f t="shared" si="39"/>
        <v>#REF!</v>
      </c>
      <c r="J73" s="275" t="e">
        <f t="shared" si="39"/>
        <v>#REF!</v>
      </c>
      <c r="K73" s="275" t="e">
        <f t="shared" si="39"/>
        <v>#REF!</v>
      </c>
      <c r="L73" s="275" t="e">
        <f t="shared" si="39"/>
        <v>#REF!</v>
      </c>
      <c r="M73" s="275" t="e">
        <f t="shared" si="39"/>
        <v>#REF!</v>
      </c>
      <c r="N73" s="275" t="e">
        <f t="shared" si="39"/>
        <v>#REF!</v>
      </c>
      <c r="O73" s="275" t="e">
        <f t="shared" si="39"/>
        <v>#REF!</v>
      </c>
      <c r="P73" s="275" t="e">
        <f t="shared" si="39"/>
        <v>#REF!</v>
      </c>
      <c r="Q73" s="275" t="e">
        <f t="shared" si="39"/>
        <v>#REF!</v>
      </c>
      <c r="R73" s="275" t="e">
        <f t="shared" si="39"/>
        <v>#REF!</v>
      </c>
      <c r="S73" s="275" t="e">
        <f t="shared" si="39"/>
        <v>#REF!</v>
      </c>
      <c r="T73" s="275" t="e">
        <f t="shared" si="39"/>
        <v>#REF!</v>
      </c>
      <c r="U73" s="275" t="e">
        <f t="shared" si="39"/>
        <v>#REF!</v>
      </c>
      <c r="V73" s="275" t="e">
        <f t="shared" si="39"/>
        <v>#REF!</v>
      </c>
      <c r="W73" s="275" t="e">
        <f t="shared" si="39"/>
        <v>#REF!</v>
      </c>
      <c r="X73" s="275" t="e">
        <f t="shared" si="39"/>
        <v>#REF!</v>
      </c>
      <c r="Y73" s="275" t="e">
        <f t="shared" si="39"/>
        <v>#REF!</v>
      </c>
      <c r="Z73" s="275" t="e">
        <f t="shared" si="39"/>
        <v>#REF!</v>
      </c>
      <c r="AA73" s="275" t="e">
        <f t="shared" si="39"/>
        <v>#REF!</v>
      </c>
      <c r="AB73" s="275" t="e">
        <f t="shared" si="39"/>
        <v>#REF!</v>
      </c>
      <c r="AC73" s="275" t="e">
        <f t="shared" si="39"/>
        <v>#REF!</v>
      </c>
      <c r="AD73" s="275" t="e">
        <f t="shared" si="39"/>
        <v>#REF!</v>
      </c>
      <c r="AE73" s="275" t="e">
        <f t="shared" si="39"/>
        <v>#REF!</v>
      </c>
      <c r="AF73" s="275" t="e">
        <f t="shared" si="39"/>
        <v>#REF!</v>
      </c>
      <c r="AG73" s="275" t="e">
        <f t="shared" si="39"/>
        <v>#REF!</v>
      </c>
      <c r="AH73" s="275" t="e">
        <f t="shared" si="39"/>
        <v>#REF!</v>
      </c>
      <c r="AI73" s="275">
        <f t="shared" si="39"/>
        <v>0</v>
      </c>
      <c r="AJ73" s="275">
        <f t="shared" si="39"/>
        <v>0</v>
      </c>
      <c r="AK73" s="275">
        <f t="shared" si="39"/>
        <v>0</v>
      </c>
      <c r="AL73" s="275">
        <f t="shared" si="39"/>
        <v>0</v>
      </c>
      <c r="AM73" s="275">
        <f t="shared" si="39"/>
        <v>0</v>
      </c>
    </row>
    <row r="75" spans="2:39">
      <c r="B75" s="2" t="s">
        <v>678</v>
      </c>
      <c r="J75" s="120" t="e">
        <f t="shared" ref="J75:AM75" si="40">-J69</f>
        <v>#REF!</v>
      </c>
      <c r="K75" s="120" t="e">
        <f t="shared" si="40"/>
        <v>#REF!</v>
      </c>
      <c r="L75" s="120" t="e">
        <f t="shared" si="40"/>
        <v>#REF!</v>
      </c>
      <c r="M75" s="120" t="e">
        <f t="shared" si="40"/>
        <v>#REF!</v>
      </c>
      <c r="N75" s="120" t="e">
        <f t="shared" si="40"/>
        <v>#REF!</v>
      </c>
      <c r="O75" s="120" t="e">
        <f t="shared" si="40"/>
        <v>#REF!</v>
      </c>
      <c r="P75" s="120" t="e">
        <f t="shared" si="40"/>
        <v>#REF!</v>
      </c>
      <c r="Q75" s="120" t="e">
        <f t="shared" si="40"/>
        <v>#REF!</v>
      </c>
      <c r="R75" s="120" t="e">
        <f t="shared" si="40"/>
        <v>#REF!</v>
      </c>
      <c r="S75" s="120" t="e">
        <f t="shared" si="40"/>
        <v>#REF!</v>
      </c>
      <c r="T75" s="120" t="e">
        <f t="shared" si="40"/>
        <v>#REF!</v>
      </c>
      <c r="U75" s="120" t="e">
        <f t="shared" si="40"/>
        <v>#REF!</v>
      </c>
      <c r="V75" s="120" t="e">
        <f t="shared" si="40"/>
        <v>#REF!</v>
      </c>
      <c r="W75" s="120" t="e">
        <f t="shared" si="40"/>
        <v>#REF!</v>
      </c>
      <c r="X75" s="120" t="e">
        <f t="shared" si="40"/>
        <v>#REF!</v>
      </c>
      <c r="Y75" s="120" t="e">
        <f t="shared" si="40"/>
        <v>#REF!</v>
      </c>
      <c r="Z75" s="120" t="e">
        <f t="shared" si="40"/>
        <v>#REF!</v>
      </c>
      <c r="AA75" s="120" t="e">
        <f t="shared" si="40"/>
        <v>#REF!</v>
      </c>
      <c r="AB75" s="120" t="e">
        <f t="shared" si="40"/>
        <v>#REF!</v>
      </c>
      <c r="AC75" s="120" t="e">
        <f t="shared" si="40"/>
        <v>#REF!</v>
      </c>
      <c r="AD75" s="120" t="e">
        <f t="shared" si="40"/>
        <v>#REF!</v>
      </c>
      <c r="AE75" s="120" t="e">
        <f t="shared" si="40"/>
        <v>#REF!</v>
      </c>
      <c r="AF75" s="120" t="e">
        <f t="shared" si="40"/>
        <v>#REF!</v>
      </c>
      <c r="AG75" s="120" t="e">
        <f t="shared" si="40"/>
        <v>#REF!</v>
      </c>
      <c r="AH75" s="120" t="e">
        <f t="shared" si="40"/>
        <v>#REF!</v>
      </c>
      <c r="AI75" s="120">
        <f t="shared" si="40"/>
        <v>0</v>
      </c>
      <c r="AJ75" s="120">
        <f t="shared" si="40"/>
        <v>0</v>
      </c>
      <c r="AK75" s="120">
        <f t="shared" si="40"/>
        <v>0</v>
      </c>
      <c r="AL75" s="120">
        <f t="shared" si="40"/>
        <v>0</v>
      </c>
      <c r="AM75" s="120">
        <f t="shared" si="40"/>
        <v>0</v>
      </c>
    </row>
    <row r="76" spans="3:39">
      <c r="C76" s="274" t="e">
        <f>IRR(F76:AM76)</f>
        <v>#VALUE!</v>
      </c>
      <c r="G76" s="275" t="e">
        <f t="shared" ref="G76:AM76" si="41">G26+G75</f>
        <v>#REF!</v>
      </c>
      <c r="H76" s="275" t="e">
        <f t="shared" si="41"/>
        <v>#REF!</v>
      </c>
      <c r="I76" s="275" t="e">
        <f t="shared" si="41"/>
        <v>#REF!</v>
      </c>
      <c r="J76" s="275" t="e">
        <f t="shared" si="41"/>
        <v>#REF!</v>
      </c>
      <c r="K76" s="275" t="e">
        <f t="shared" si="41"/>
        <v>#REF!</v>
      </c>
      <c r="L76" s="275" t="e">
        <f t="shared" si="41"/>
        <v>#REF!</v>
      </c>
      <c r="M76" s="275" t="e">
        <f t="shared" si="41"/>
        <v>#REF!</v>
      </c>
      <c r="N76" s="275" t="e">
        <f t="shared" si="41"/>
        <v>#REF!</v>
      </c>
      <c r="O76" s="275" t="e">
        <f t="shared" si="41"/>
        <v>#REF!</v>
      </c>
      <c r="P76" s="275" t="e">
        <f t="shared" si="41"/>
        <v>#REF!</v>
      </c>
      <c r="Q76" s="275" t="e">
        <f t="shared" si="41"/>
        <v>#REF!</v>
      </c>
      <c r="R76" s="275" t="e">
        <f t="shared" si="41"/>
        <v>#REF!</v>
      </c>
      <c r="S76" s="275" t="e">
        <f t="shared" si="41"/>
        <v>#REF!</v>
      </c>
      <c r="T76" s="275" t="e">
        <f t="shared" si="41"/>
        <v>#REF!</v>
      </c>
      <c r="U76" s="275" t="e">
        <f t="shared" si="41"/>
        <v>#REF!</v>
      </c>
      <c r="V76" s="275" t="e">
        <f t="shared" si="41"/>
        <v>#REF!</v>
      </c>
      <c r="W76" s="275" t="e">
        <f t="shared" si="41"/>
        <v>#REF!</v>
      </c>
      <c r="X76" s="275" t="e">
        <f t="shared" si="41"/>
        <v>#REF!</v>
      </c>
      <c r="Y76" s="275" t="e">
        <f t="shared" si="41"/>
        <v>#REF!</v>
      </c>
      <c r="Z76" s="275" t="e">
        <f t="shared" si="41"/>
        <v>#REF!</v>
      </c>
      <c r="AA76" s="275" t="e">
        <f t="shared" si="41"/>
        <v>#REF!</v>
      </c>
      <c r="AB76" s="275" t="e">
        <f t="shared" si="41"/>
        <v>#REF!</v>
      </c>
      <c r="AC76" s="275" t="e">
        <f t="shared" si="41"/>
        <v>#REF!</v>
      </c>
      <c r="AD76" s="275" t="e">
        <f t="shared" si="41"/>
        <v>#REF!</v>
      </c>
      <c r="AE76" s="275" t="e">
        <f t="shared" si="41"/>
        <v>#REF!</v>
      </c>
      <c r="AF76" s="275" t="e">
        <f t="shared" si="41"/>
        <v>#REF!</v>
      </c>
      <c r="AG76" s="275" t="e">
        <f t="shared" si="41"/>
        <v>#REF!</v>
      </c>
      <c r="AH76" s="275" t="e">
        <f t="shared" si="41"/>
        <v>#REF!</v>
      </c>
      <c r="AI76" s="275">
        <f t="shared" si="41"/>
        <v>0</v>
      </c>
      <c r="AJ76" s="275">
        <f t="shared" si="41"/>
        <v>0</v>
      </c>
      <c r="AK76" s="275">
        <f t="shared" si="41"/>
        <v>0</v>
      </c>
      <c r="AL76" s="275">
        <f t="shared" si="41"/>
        <v>0</v>
      </c>
      <c r="AM76" s="275">
        <f t="shared" si="41"/>
        <v>0</v>
      </c>
    </row>
    <row r="78" spans="2:39">
      <c r="B78" s="2" t="s">
        <v>679</v>
      </c>
      <c r="J78" s="120" t="e">
        <f t="shared" ref="J78:AM78" si="42">-J72</f>
        <v>#REF!</v>
      </c>
      <c r="K78" s="120" t="e">
        <f t="shared" si="42"/>
        <v>#REF!</v>
      </c>
      <c r="L78" s="120" t="e">
        <f t="shared" si="42"/>
        <v>#REF!</v>
      </c>
      <c r="M78" s="120" t="e">
        <f t="shared" si="42"/>
        <v>#REF!</v>
      </c>
      <c r="N78" s="120" t="e">
        <f t="shared" si="42"/>
        <v>#REF!</v>
      </c>
      <c r="O78" s="120" t="e">
        <f t="shared" si="42"/>
        <v>#REF!</v>
      </c>
      <c r="P78" s="120" t="e">
        <f t="shared" si="42"/>
        <v>#REF!</v>
      </c>
      <c r="Q78" s="120" t="e">
        <f t="shared" si="42"/>
        <v>#REF!</v>
      </c>
      <c r="R78" s="120" t="e">
        <f t="shared" si="42"/>
        <v>#REF!</v>
      </c>
      <c r="S78" s="120" t="e">
        <f t="shared" si="42"/>
        <v>#REF!</v>
      </c>
      <c r="T78" s="120" t="e">
        <f t="shared" si="42"/>
        <v>#REF!</v>
      </c>
      <c r="U78" s="120" t="e">
        <f t="shared" si="42"/>
        <v>#REF!</v>
      </c>
      <c r="V78" s="120" t="e">
        <f t="shared" si="42"/>
        <v>#REF!</v>
      </c>
      <c r="W78" s="120" t="e">
        <f t="shared" si="42"/>
        <v>#REF!</v>
      </c>
      <c r="X78" s="120" t="e">
        <f t="shared" si="42"/>
        <v>#REF!</v>
      </c>
      <c r="Y78" s="120" t="e">
        <f t="shared" si="42"/>
        <v>#REF!</v>
      </c>
      <c r="Z78" s="120" t="e">
        <f t="shared" si="42"/>
        <v>#REF!</v>
      </c>
      <c r="AA78" s="120" t="e">
        <f t="shared" si="42"/>
        <v>#REF!</v>
      </c>
      <c r="AB78" s="120" t="e">
        <f t="shared" si="42"/>
        <v>#REF!</v>
      </c>
      <c r="AC78" s="120" t="e">
        <f t="shared" si="42"/>
        <v>#REF!</v>
      </c>
      <c r="AD78" s="120" t="e">
        <f t="shared" si="42"/>
        <v>#REF!</v>
      </c>
      <c r="AE78" s="120" t="e">
        <f t="shared" si="42"/>
        <v>#REF!</v>
      </c>
      <c r="AF78" s="120" t="e">
        <f t="shared" si="42"/>
        <v>#REF!</v>
      </c>
      <c r="AG78" s="120" t="e">
        <f t="shared" si="42"/>
        <v>#REF!</v>
      </c>
      <c r="AH78" s="120" t="e">
        <f t="shared" si="42"/>
        <v>#REF!</v>
      </c>
      <c r="AI78" s="120">
        <f t="shared" si="42"/>
        <v>0</v>
      </c>
      <c r="AJ78" s="120">
        <f t="shared" si="42"/>
        <v>0</v>
      </c>
      <c r="AK78" s="120">
        <f t="shared" si="42"/>
        <v>0</v>
      </c>
      <c r="AL78" s="120">
        <f t="shared" si="42"/>
        <v>0</v>
      </c>
      <c r="AM78" s="120">
        <f t="shared" si="42"/>
        <v>0</v>
      </c>
    </row>
    <row r="79" spans="3:39">
      <c r="C79" s="274" t="e">
        <f>IRR(F79:AM79)</f>
        <v>#VALUE!</v>
      </c>
      <c r="G79" s="275" t="e">
        <f t="shared" ref="G79:AM79" si="43">G26+G78</f>
        <v>#REF!</v>
      </c>
      <c r="H79" s="275" t="e">
        <f t="shared" si="43"/>
        <v>#REF!</v>
      </c>
      <c r="I79" s="275" t="e">
        <f t="shared" si="43"/>
        <v>#REF!</v>
      </c>
      <c r="J79" s="275" t="e">
        <f t="shared" si="43"/>
        <v>#REF!</v>
      </c>
      <c r="K79" s="275" t="e">
        <f t="shared" si="43"/>
        <v>#REF!</v>
      </c>
      <c r="L79" s="275" t="e">
        <f t="shared" si="43"/>
        <v>#REF!</v>
      </c>
      <c r="M79" s="275" t="e">
        <f t="shared" si="43"/>
        <v>#REF!</v>
      </c>
      <c r="N79" s="275" t="e">
        <f t="shared" si="43"/>
        <v>#REF!</v>
      </c>
      <c r="O79" s="275" t="e">
        <f t="shared" si="43"/>
        <v>#REF!</v>
      </c>
      <c r="P79" s="275" t="e">
        <f t="shared" si="43"/>
        <v>#REF!</v>
      </c>
      <c r="Q79" s="275" t="e">
        <f t="shared" si="43"/>
        <v>#REF!</v>
      </c>
      <c r="R79" s="275" t="e">
        <f t="shared" si="43"/>
        <v>#REF!</v>
      </c>
      <c r="S79" s="275" t="e">
        <f t="shared" si="43"/>
        <v>#REF!</v>
      </c>
      <c r="T79" s="275" t="e">
        <f t="shared" si="43"/>
        <v>#REF!</v>
      </c>
      <c r="U79" s="275" t="e">
        <f t="shared" si="43"/>
        <v>#REF!</v>
      </c>
      <c r="V79" s="275" t="e">
        <f t="shared" si="43"/>
        <v>#REF!</v>
      </c>
      <c r="W79" s="275" t="e">
        <f t="shared" si="43"/>
        <v>#REF!</v>
      </c>
      <c r="X79" s="275" t="e">
        <f t="shared" si="43"/>
        <v>#REF!</v>
      </c>
      <c r="Y79" s="275" t="e">
        <f t="shared" si="43"/>
        <v>#REF!</v>
      </c>
      <c r="Z79" s="275" t="e">
        <f t="shared" si="43"/>
        <v>#REF!</v>
      </c>
      <c r="AA79" s="275" t="e">
        <f t="shared" si="43"/>
        <v>#REF!</v>
      </c>
      <c r="AB79" s="275" t="e">
        <f t="shared" si="43"/>
        <v>#REF!</v>
      </c>
      <c r="AC79" s="275" t="e">
        <f t="shared" si="43"/>
        <v>#REF!</v>
      </c>
      <c r="AD79" s="275" t="e">
        <f t="shared" si="43"/>
        <v>#REF!</v>
      </c>
      <c r="AE79" s="275" t="e">
        <f t="shared" si="43"/>
        <v>#REF!</v>
      </c>
      <c r="AF79" s="275" t="e">
        <f t="shared" si="43"/>
        <v>#REF!</v>
      </c>
      <c r="AG79" s="275" t="e">
        <f t="shared" si="43"/>
        <v>#REF!</v>
      </c>
      <c r="AH79" s="275" t="e">
        <f t="shared" si="43"/>
        <v>#REF!</v>
      </c>
      <c r="AI79" s="275">
        <f t="shared" si="43"/>
        <v>0</v>
      </c>
      <c r="AJ79" s="275">
        <f t="shared" si="43"/>
        <v>0</v>
      </c>
      <c r="AK79" s="275">
        <f t="shared" si="43"/>
        <v>0</v>
      </c>
      <c r="AL79" s="275">
        <f t="shared" si="43"/>
        <v>0</v>
      </c>
      <c r="AM79" s="275">
        <f t="shared" si="43"/>
        <v>0</v>
      </c>
    </row>
  </sheetData>
  <mergeCells count="6">
    <mergeCell ref="B1:AN1"/>
    <mergeCell ref="B2:AN2"/>
    <mergeCell ref="D4:I4"/>
    <mergeCell ref="J4:AM4"/>
    <mergeCell ref="A17:A18"/>
    <mergeCell ref="AN4:AN5"/>
  </mergeCells>
  <pageMargins left="0.748031496062992" right="0.236220472440945" top="1.5748031496063" bottom="0.354330708661417" header="1.14173228346457" footer="0.275590551181102"/>
  <pageSetup paperSize="9" scale="73" orientation="landscape"/>
  <headerFooter alignWithMargins="0">
    <oddHeader>&amp;R&amp;"Times New Roman,常规"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O47"/>
  <sheetViews>
    <sheetView showZeros="0" topLeftCell="C1" workbookViewId="0">
      <selection activeCell="AH17" sqref="AH17"/>
    </sheetView>
  </sheetViews>
  <sheetFormatPr defaultColWidth="10" defaultRowHeight="14.25"/>
  <cols>
    <col min="1" max="1" width="1.5" style="234" customWidth="true"/>
    <col min="2" max="2" width="3.125" style="235" customWidth="true"/>
    <col min="3" max="3" width="23.5" style="235" customWidth="true"/>
    <col min="4" max="4" width="9.25" style="236" hidden="true" customWidth="true" outlineLevel="1"/>
    <col min="5" max="5" width="9.875" style="236" hidden="true" customWidth="true" outlineLevel="1"/>
    <col min="6" max="7" width="6.625" style="236" hidden="true" customWidth="true" outlineLevel="1"/>
    <col min="8" max="8" width="6.625" style="236" customWidth="true" collapsed="true"/>
    <col min="9" max="10" width="6.625" style="236" customWidth="true"/>
    <col min="11" max="12" width="6.875" style="236" customWidth="true"/>
    <col min="13" max="13" width="7.125" style="236" customWidth="true"/>
    <col min="14" max="14" width="6.5" style="236" customWidth="true"/>
    <col min="15" max="15" width="6.625" style="236" customWidth="true"/>
    <col min="16" max="21" width="6.5" style="236" customWidth="true"/>
    <col min="22" max="22" width="6.875" style="236" customWidth="true"/>
    <col min="23" max="23" width="5.75" style="236" customWidth="true"/>
    <col min="24" max="24" width="5.875" style="236" customWidth="true"/>
    <col min="25" max="25" width="6" style="236" customWidth="true"/>
    <col min="26" max="26" width="6.125" style="236" customWidth="true"/>
    <col min="27" max="27" width="5.75" style="236" customWidth="true"/>
    <col min="28" max="29" width="5.875" style="236" customWidth="true"/>
    <col min="30" max="34" width="6" style="236" customWidth="true"/>
    <col min="35" max="39" width="6" style="236" hidden="true" customWidth="true" outlineLevel="1"/>
    <col min="40" max="40" width="6.625" style="236" customWidth="true" collapsed="true"/>
    <col min="41" max="41" width="10" style="234" hidden="true" customWidth="true"/>
    <col min="42" max="16384" width="10" style="234"/>
  </cols>
  <sheetData>
    <row r="1" s="1" customFormat="true" ht="29.25" customHeight="true" spans="2:40">
      <c r="B1" s="122" t="s">
        <v>680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ht="15.95" customHeight="true" spans="2:40">
      <c r="B2" s="237" t="s">
        <v>617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</row>
    <row r="3" ht="0.75" hidden="true" customHeight="true" spans="2:40">
      <c r="B3" s="160"/>
      <c r="C3" s="160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120"/>
    </row>
    <row r="4" spans="2:40">
      <c r="B4" s="125" t="s">
        <v>493</v>
      </c>
      <c r="C4" s="126" t="s">
        <v>618</v>
      </c>
      <c r="D4" s="41" t="s">
        <v>512</v>
      </c>
      <c r="E4" s="171"/>
      <c r="F4" s="171"/>
      <c r="G4" s="171"/>
      <c r="H4" s="171"/>
      <c r="I4" s="174"/>
      <c r="J4" s="41" t="s">
        <v>621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4"/>
      <c r="AN4" s="145" t="s">
        <v>305</v>
      </c>
    </row>
    <row r="5" spans="2:40">
      <c r="B5" s="127" t="s">
        <v>496</v>
      </c>
      <c r="C5" s="8" t="s">
        <v>475</v>
      </c>
      <c r="D5" s="9">
        <f t="shared" ref="D5:H5" si="0">E5-1</f>
        <v>-3</v>
      </c>
      <c r="E5" s="9">
        <f t="shared" si="0"/>
        <v>-2</v>
      </c>
      <c r="F5" s="9">
        <f t="shared" si="0"/>
        <v>-1</v>
      </c>
      <c r="G5" s="9">
        <f t="shared" si="0"/>
        <v>0</v>
      </c>
      <c r="H5" s="9">
        <f t="shared" si="0"/>
        <v>1</v>
      </c>
      <c r="I5" s="9">
        <f>现金流量!I5</f>
        <v>2</v>
      </c>
      <c r="J5" s="32">
        <f t="shared" ref="J5:AM5" si="1">I5+1</f>
        <v>3</v>
      </c>
      <c r="K5" s="32">
        <f t="shared" si="1"/>
        <v>4</v>
      </c>
      <c r="L5" s="32">
        <f t="shared" si="1"/>
        <v>5</v>
      </c>
      <c r="M5" s="32">
        <f t="shared" si="1"/>
        <v>6</v>
      </c>
      <c r="N5" s="32">
        <f t="shared" si="1"/>
        <v>7</v>
      </c>
      <c r="O5" s="32">
        <f t="shared" si="1"/>
        <v>8</v>
      </c>
      <c r="P5" s="32">
        <f t="shared" si="1"/>
        <v>9</v>
      </c>
      <c r="Q5" s="32">
        <f t="shared" si="1"/>
        <v>10</v>
      </c>
      <c r="R5" s="32">
        <f t="shared" si="1"/>
        <v>11</v>
      </c>
      <c r="S5" s="32">
        <f t="shared" si="1"/>
        <v>12</v>
      </c>
      <c r="T5" s="32">
        <f t="shared" si="1"/>
        <v>13</v>
      </c>
      <c r="U5" s="32">
        <f t="shared" si="1"/>
        <v>14</v>
      </c>
      <c r="V5" s="32">
        <f t="shared" si="1"/>
        <v>15</v>
      </c>
      <c r="W5" s="32">
        <f t="shared" si="1"/>
        <v>16</v>
      </c>
      <c r="X5" s="32">
        <f t="shared" si="1"/>
        <v>17</v>
      </c>
      <c r="Y5" s="32">
        <f t="shared" si="1"/>
        <v>18</v>
      </c>
      <c r="Z5" s="32">
        <f t="shared" si="1"/>
        <v>19</v>
      </c>
      <c r="AA5" s="32">
        <f t="shared" si="1"/>
        <v>20</v>
      </c>
      <c r="AB5" s="32">
        <f t="shared" si="1"/>
        <v>21</v>
      </c>
      <c r="AC5" s="32">
        <f t="shared" si="1"/>
        <v>22</v>
      </c>
      <c r="AD5" s="32">
        <f t="shared" si="1"/>
        <v>23</v>
      </c>
      <c r="AE5" s="32">
        <f t="shared" si="1"/>
        <v>24</v>
      </c>
      <c r="AF5" s="32">
        <f t="shared" si="1"/>
        <v>25</v>
      </c>
      <c r="AG5" s="32">
        <f t="shared" si="1"/>
        <v>26</v>
      </c>
      <c r="AH5" s="32">
        <f t="shared" si="1"/>
        <v>27</v>
      </c>
      <c r="AI5" s="32">
        <f t="shared" si="1"/>
        <v>28</v>
      </c>
      <c r="AJ5" s="32">
        <f t="shared" si="1"/>
        <v>29</v>
      </c>
      <c r="AK5" s="32">
        <f t="shared" si="1"/>
        <v>30</v>
      </c>
      <c r="AL5" s="32">
        <f t="shared" si="1"/>
        <v>31</v>
      </c>
      <c r="AM5" s="32">
        <f t="shared" si="1"/>
        <v>32</v>
      </c>
      <c r="AN5" s="145"/>
    </row>
    <row r="6" spans="2:40">
      <c r="B6" s="11"/>
      <c r="C6" s="11" t="s">
        <v>630</v>
      </c>
      <c r="D6" s="12"/>
      <c r="E6" s="12"/>
      <c r="F6" s="12"/>
      <c r="G6" s="12"/>
      <c r="H6" s="25"/>
      <c r="I6" s="25"/>
      <c r="J6" s="33">
        <f>现金流量!J6</f>
        <v>0.8</v>
      </c>
      <c r="K6" s="33">
        <f>现金流量!K6</f>
        <v>0.9</v>
      </c>
      <c r="L6" s="33">
        <f>现金流量!L6</f>
        <v>1</v>
      </c>
      <c r="M6" s="33">
        <f>现金流量!M6</f>
        <v>1</v>
      </c>
      <c r="N6" s="33">
        <f>现金流量!N6</f>
        <v>1</v>
      </c>
      <c r="O6" s="33">
        <f>现金流量!O6</f>
        <v>1</v>
      </c>
      <c r="P6" s="33">
        <f>现金流量!P6</f>
        <v>1</v>
      </c>
      <c r="Q6" s="33">
        <f>现金流量!Q6</f>
        <v>1</v>
      </c>
      <c r="R6" s="33">
        <f>现金流量!R6</f>
        <v>1</v>
      </c>
      <c r="S6" s="33">
        <f>现金流量!S6</f>
        <v>1</v>
      </c>
      <c r="T6" s="33">
        <f>现金流量!T6</f>
        <v>1</v>
      </c>
      <c r="U6" s="33">
        <f>现金流量!U6</f>
        <v>1</v>
      </c>
      <c r="V6" s="33">
        <f>现金流量!V6</f>
        <v>1</v>
      </c>
      <c r="W6" s="33">
        <f>现金流量!W6</f>
        <v>1</v>
      </c>
      <c r="X6" s="33">
        <f>现金流量!X6</f>
        <v>1</v>
      </c>
      <c r="Y6" s="33">
        <f>现金流量!Y6</f>
        <v>1</v>
      </c>
      <c r="Z6" s="33">
        <f>现金流量!Z6</f>
        <v>1</v>
      </c>
      <c r="AA6" s="33">
        <f>现金流量!AA6</f>
        <v>1</v>
      </c>
      <c r="AB6" s="33">
        <f>现金流量!AB6</f>
        <v>1</v>
      </c>
      <c r="AC6" s="33">
        <f>现金流量!AC6</f>
        <v>1</v>
      </c>
      <c r="AD6" s="33">
        <f>现金流量!AD6</f>
        <v>1</v>
      </c>
      <c r="AE6" s="33">
        <f>现金流量!AE6</f>
        <v>1</v>
      </c>
      <c r="AF6" s="33">
        <f>现金流量!AF6</f>
        <v>1</v>
      </c>
      <c r="AG6" s="33">
        <f>现金流量!AG6</f>
        <v>1</v>
      </c>
      <c r="AH6" s="33">
        <f>现金流量!AH6</f>
        <v>1</v>
      </c>
      <c r="AI6" s="33">
        <f>现金流量!AI6</f>
        <v>0</v>
      </c>
      <c r="AJ6" s="33">
        <f>现金流量!AJ6</f>
        <v>0</v>
      </c>
      <c r="AK6" s="33">
        <f>现金流量!AK6</f>
        <v>0</v>
      </c>
      <c r="AL6" s="33">
        <f>现金流量!AL6</f>
        <v>0</v>
      </c>
      <c r="AM6" s="33">
        <f>现金流量!AM6</f>
        <v>0</v>
      </c>
      <c r="AN6" s="11"/>
    </row>
    <row r="7" spans="2:40">
      <c r="B7" s="239">
        <v>1</v>
      </c>
      <c r="C7" s="14" t="s">
        <v>642</v>
      </c>
      <c r="D7" s="132"/>
      <c r="E7" s="132"/>
      <c r="F7" s="132"/>
      <c r="G7" s="15"/>
      <c r="H7" s="15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</row>
    <row r="8" ht="26.25" customHeight="true" spans="2:41">
      <c r="B8" s="191">
        <v>1.1</v>
      </c>
      <c r="C8" s="240" t="s">
        <v>643</v>
      </c>
      <c r="D8" s="132"/>
      <c r="E8" s="132"/>
      <c r="F8" s="26"/>
      <c r="G8" s="26"/>
      <c r="H8" s="26"/>
      <c r="I8" s="26"/>
      <c r="J8" s="26">
        <f>损益表!D6*$AO$8</f>
        <v>7879.68</v>
      </c>
      <c r="K8" s="26">
        <f>损益表!E6*$AO$8</f>
        <v>8864.64</v>
      </c>
      <c r="L8" s="26">
        <f>损益表!F6*$AO$8</f>
        <v>9849.6</v>
      </c>
      <c r="M8" s="26">
        <f>损益表!G6*$AO$8</f>
        <v>9849.6</v>
      </c>
      <c r="N8" s="26">
        <f>损益表!H6*$AO$8</f>
        <v>9849.6</v>
      </c>
      <c r="O8" s="26">
        <f>损益表!I6*$AO$8</f>
        <v>9849.6</v>
      </c>
      <c r="P8" s="26">
        <f>损益表!J6*$AO$8</f>
        <v>9849.6</v>
      </c>
      <c r="Q8" s="26">
        <f>损益表!K6*$AO$8</f>
        <v>9849.6</v>
      </c>
      <c r="R8" s="26">
        <f>损益表!L6*$AO$8</f>
        <v>9849.6</v>
      </c>
      <c r="S8" s="26">
        <f>损益表!M6*$AO$8</f>
        <v>9849.6</v>
      </c>
      <c r="T8" s="26">
        <f>损益表!N6*$AO$8</f>
        <v>9849.6</v>
      </c>
      <c r="U8" s="26">
        <f>损益表!O6*$AO$8</f>
        <v>9849.6</v>
      </c>
      <c r="V8" s="26">
        <f>损益表!P6*$AO$8</f>
        <v>9849.6</v>
      </c>
      <c r="W8" s="26">
        <f>损益表!Q6*$AO$8</f>
        <v>9849.6</v>
      </c>
      <c r="X8" s="26">
        <f>损益表!R6*$AO$8</f>
        <v>9849.6</v>
      </c>
      <c r="Y8" s="26">
        <f>损益表!S6*$AO$8</f>
        <v>9849.6</v>
      </c>
      <c r="Z8" s="26">
        <f>损益表!T6*$AO$8</f>
        <v>9849.6</v>
      </c>
      <c r="AA8" s="26">
        <f>损益表!U6*$AO$8</f>
        <v>9849.6</v>
      </c>
      <c r="AB8" s="26">
        <f>损益表!V6*$AO$8</f>
        <v>9849.6</v>
      </c>
      <c r="AC8" s="26">
        <f>损益表!W6*$AO$8</f>
        <v>9849.6</v>
      </c>
      <c r="AD8" s="26">
        <f>损益表!X6*$AO$8</f>
        <v>9849.6</v>
      </c>
      <c r="AE8" s="26">
        <f>损益表!Y6*$AO$8</f>
        <v>9849.6</v>
      </c>
      <c r="AF8" s="26">
        <f>损益表!Z6*$AO$8</f>
        <v>9849.6</v>
      </c>
      <c r="AG8" s="26">
        <f>损益表!AA6*$AO$8</f>
        <v>9849.6</v>
      </c>
      <c r="AH8" s="26">
        <f>损益表!AB6*$AO$8</f>
        <v>9849.6</v>
      </c>
      <c r="AI8" s="26">
        <f>损益表!AC6*$AO$8</f>
        <v>0</v>
      </c>
      <c r="AJ8" s="26">
        <f>损益表!AD6*$AO$8</f>
        <v>0</v>
      </c>
      <c r="AK8" s="26">
        <f>损益表!AE6*$AO$8</f>
        <v>0</v>
      </c>
      <c r="AL8" s="26">
        <f>损益表!AF6*$AO$8</f>
        <v>0</v>
      </c>
      <c r="AM8" s="26">
        <f>损益表!AG6*$AO$8</f>
        <v>0</v>
      </c>
      <c r="AN8" s="26">
        <f t="shared" ref="AN8:AN13" si="2">SUM(G8:AM8)</f>
        <v>243285.12</v>
      </c>
      <c r="AO8" s="234">
        <v>1</v>
      </c>
    </row>
    <row r="9" spans="2:40">
      <c r="B9" s="191">
        <v>1.2</v>
      </c>
      <c r="C9" s="240" t="s">
        <v>644</v>
      </c>
      <c r="D9" s="132"/>
      <c r="E9" s="132"/>
      <c r="F9" s="26"/>
      <c r="G9" s="26"/>
      <c r="H9" s="26"/>
      <c r="I9" s="26"/>
      <c r="J9" s="26">
        <f>现金流量!J9</f>
        <v>0</v>
      </c>
      <c r="K9" s="26">
        <f>现金流量!K9</f>
        <v>0</v>
      </c>
      <c r="L9" s="26">
        <f>现金流量!L9</f>
        <v>0</v>
      </c>
      <c r="M9" s="26">
        <f>现金流量!M9</f>
        <v>0</v>
      </c>
      <c r="N9" s="26">
        <f>现金流量!N9</f>
        <v>0</v>
      </c>
      <c r="O9" s="26">
        <f>现金流量!O9</f>
        <v>0</v>
      </c>
      <c r="P9" s="26">
        <f>现金流量!P9</f>
        <v>0</v>
      </c>
      <c r="Q9" s="26">
        <f>现金流量!Q9</f>
        <v>0</v>
      </c>
      <c r="R9" s="26">
        <f>现金流量!R9</f>
        <v>0</v>
      </c>
      <c r="S9" s="26">
        <f>现金流量!S9</f>
        <v>0</v>
      </c>
      <c r="T9" s="26">
        <f>现金流量!T9</f>
        <v>0</v>
      </c>
      <c r="U9" s="26">
        <f>现金流量!U9</f>
        <v>0</v>
      </c>
      <c r="V9" s="26">
        <f>现金流量!V9</f>
        <v>0</v>
      </c>
      <c r="W9" s="26">
        <f>现金流量!W9</f>
        <v>0</v>
      </c>
      <c r="X9" s="26">
        <f>现金流量!X9</f>
        <v>0</v>
      </c>
      <c r="Y9" s="26">
        <f>现金流量!Y9</f>
        <v>0</v>
      </c>
      <c r="Z9" s="26">
        <f>现金流量!Z9</f>
        <v>0</v>
      </c>
      <c r="AA9" s="26">
        <f>现金流量!AA9</f>
        <v>0</v>
      </c>
      <c r="AB9" s="26">
        <f>现金流量!AB9</f>
        <v>0</v>
      </c>
      <c r="AC9" s="26">
        <f>现金流量!AC9</f>
        <v>0</v>
      </c>
      <c r="AD9" s="26">
        <f>现金流量!AD9</f>
        <v>0</v>
      </c>
      <c r="AE9" s="26">
        <f>现金流量!AE9</f>
        <v>0</v>
      </c>
      <c r="AF9" s="26">
        <f>现金流量!AF9</f>
        <v>0</v>
      </c>
      <c r="AG9" s="26">
        <f>现金流量!AG9</f>
        <v>0</v>
      </c>
      <c r="AH9" s="26" t="e">
        <f>现金流量!AH9</f>
        <v>#REF!</v>
      </c>
      <c r="AI9" s="26">
        <f>现金流量!AI9</f>
        <v>0</v>
      </c>
      <c r="AJ9" s="26">
        <f>现金流量!AJ9</f>
        <v>0</v>
      </c>
      <c r="AK9" s="26">
        <f>现金流量!AK9</f>
        <v>0</v>
      </c>
      <c r="AL9" s="26">
        <f>现金流量!AL9</f>
        <v>0</v>
      </c>
      <c r="AM9" s="26">
        <f>现金流量!AM9</f>
        <v>0</v>
      </c>
      <c r="AN9" s="26" t="e">
        <f t="shared" si="2"/>
        <v>#REF!</v>
      </c>
    </row>
    <row r="10" spans="2:40">
      <c r="B10" s="191">
        <v>1.3</v>
      </c>
      <c r="C10" s="240" t="s">
        <v>645</v>
      </c>
      <c r="D10" s="132"/>
      <c r="E10" s="132"/>
      <c r="F10" s="26"/>
      <c r="G10" s="26"/>
      <c r="H10" s="26"/>
      <c r="I10" s="26"/>
      <c r="J10" s="26">
        <f t="shared" ref="J10:AM10" si="3">IF(J5=zq,$AN$16,0)</f>
        <v>0</v>
      </c>
      <c r="K10" s="26">
        <f t="shared" si="3"/>
        <v>0</v>
      </c>
      <c r="L10" s="26">
        <f t="shared" si="3"/>
        <v>0</v>
      </c>
      <c r="M10" s="26">
        <f t="shared" si="3"/>
        <v>0</v>
      </c>
      <c r="N10" s="26">
        <f t="shared" si="3"/>
        <v>0</v>
      </c>
      <c r="O10" s="26">
        <f t="shared" si="3"/>
        <v>0</v>
      </c>
      <c r="P10" s="26">
        <f t="shared" si="3"/>
        <v>0</v>
      </c>
      <c r="Q10" s="26">
        <f t="shared" si="3"/>
        <v>0</v>
      </c>
      <c r="R10" s="26">
        <f t="shared" si="3"/>
        <v>0</v>
      </c>
      <c r="S10" s="26">
        <f t="shared" si="3"/>
        <v>0</v>
      </c>
      <c r="T10" s="26">
        <f t="shared" si="3"/>
        <v>0</v>
      </c>
      <c r="U10" s="26">
        <f t="shared" si="3"/>
        <v>0</v>
      </c>
      <c r="V10" s="26">
        <f t="shared" si="3"/>
        <v>0</v>
      </c>
      <c r="W10" s="26">
        <f t="shared" si="3"/>
        <v>0</v>
      </c>
      <c r="X10" s="26">
        <f t="shared" si="3"/>
        <v>0</v>
      </c>
      <c r="Y10" s="26">
        <f t="shared" si="3"/>
        <v>0</v>
      </c>
      <c r="Z10" s="26">
        <f t="shared" si="3"/>
        <v>0</v>
      </c>
      <c r="AA10" s="26">
        <f t="shared" si="3"/>
        <v>0</v>
      </c>
      <c r="AB10" s="26">
        <f t="shared" si="3"/>
        <v>0</v>
      </c>
      <c r="AC10" s="26">
        <f t="shared" si="3"/>
        <v>0</v>
      </c>
      <c r="AD10" s="26">
        <f t="shared" si="3"/>
        <v>0</v>
      </c>
      <c r="AE10" s="26">
        <f t="shared" si="3"/>
        <v>0</v>
      </c>
      <c r="AF10" s="26">
        <f t="shared" si="3"/>
        <v>0</v>
      </c>
      <c r="AG10" s="26">
        <f t="shared" si="3"/>
        <v>0</v>
      </c>
      <c r="AH10" s="26" t="e">
        <f t="shared" si="3"/>
        <v>#REF!</v>
      </c>
      <c r="AI10" s="26">
        <f t="shared" si="3"/>
        <v>0</v>
      </c>
      <c r="AJ10" s="26">
        <f t="shared" si="3"/>
        <v>0</v>
      </c>
      <c r="AK10" s="26">
        <f t="shared" si="3"/>
        <v>0</v>
      </c>
      <c r="AL10" s="26">
        <f t="shared" si="3"/>
        <v>0</v>
      </c>
      <c r="AM10" s="26">
        <f t="shared" si="3"/>
        <v>0</v>
      </c>
      <c r="AN10" s="26" t="e">
        <f t="shared" si="2"/>
        <v>#REF!</v>
      </c>
    </row>
    <row r="11" spans="2:40">
      <c r="B11" s="191">
        <v>1.4</v>
      </c>
      <c r="C11" s="15" t="str">
        <f>+现金流量!C11</f>
        <v>其他补贴（管网运行维护费）</v>
      </c>
      <c r="D11" s="132"/>
      <c r="E11" s="132"/>
      <c r="F11" s="26"/>
      <c r="G11" s="26"/>
      <c r="H11" s="26"/>
      <c r="I11" s="26"/>
      <c r="J11" s="26">
        <f>+现金流量!J11</f>
        <v>3000</v>
      </c>
      <c r="K11" s="26">
        <f>+现金流量!K11</f>
        <v>3000</v>
      </c>
      <c r="L11" s="26">
        <f>+现金流量!L11</f>
        <v>3000</v>
      </c>
      <c r="M11" s="26">
        <f>+现金流量!M11</f>
        <v>3000</v>
      </c>
      <c r="N11" s="26">
        <f>+现金流量!N11</f>
        <v>3000</v>
      </c>
      <c r="O11" s="26">
        <f>+现金流量!O11</f>
        <v>3000</v>
      </c>
      <c r="P11" s="26">
        <f>+现金流量!P11</f>
        <v>3000</v>
      </c>
      <c r="Q11" s="26">
        <f>+现金流量!Q11</f>
        <v>3000</v>
      </c>
      <c r="R11" s="26">
        <f>+现金流量!R11</f>
        <v>3000</v>
      </c>
      <c r="S11" s="26">
        <f>+现金流量!S11</f>
        <v>3000</v>
      </c>
      <c r="T11" s="26">
        <f>+现金流量!T11</f>
        <v>3000</v>
      </c>
      <c r="U11" s="26">
        <f>+现金流量!U11</f>
        <v>3000</v>
      </c>
      <c r="V11" s="26">
        <f>+现金流量!V11</f>
        <v>3000</v>
      </c>
      <c r="W11" s="26">
        <f>+现金流量!W11</f>
        <v>3000</v>
      </c>
      <c r="X11" s="26">
        <f>+现金流量!X11</f>
        <v>3000</v>
      </c>
      <c r="Y11" s="26">
        <f>+现金流量!Y11</f>
        <v>3000</v>
      </c>
      <c r="Z11" s="26">
        <f>+现金流量!Z11</f>
        <v>3000</v>
      </c>
      <c r="AA11" s="26">
        <f>+现金流量!AA11</f>
        <v>3000</v>
      </c>
      <c r="AB11" s="26">
        <f>+现金流量!AB11</f>
        <v>3000</v>
      </c>
      <c r="AC11" s="26">
        <f>+现金流量!AC11</f>
        <v>3000</v>
      </c>
      <c r="AD11" s="26">
        <f>+现金流量!AD11</f>
        <v>3000</v>
      </c>
      <c r="AE11" s="26">
        <f>+现金流量!AE11</f>
        <v>3000</v>
      </c>
      <c r="AF11" s="26">
        <f>+现金流量!AF11</f>
        <v>3000</v>
      </c>
      <c r="AG11" s="26">
        <f>+现金流量!AG11</f>
        <v>3000</v>
      </c>
      <c r="AH11" s="26">
        <f>+现金流量!AH11</f>
        <v>3000</v>
      </c>
      <c r="AI11" s="26"/>
      <c r="AJ11" s="26"/>
      <c r="AK11" s="26"/>
      <c r="AL11" s="26"/>
      <c r="AM11" s="26"/>
      <c r="AN11" s="26">
        <f t="shared" si="2"/>
        <v>75000</v>
      </c>
    </row>
    <row r="12" spans="2:40">
      <c r="B12" s="191">
        <v>1.5</v>
      </c>
      <c r="C12" s="15" t="str">
        <f>+现金流量!C12</f>
        <v>其他补贴（水厂基本功运行维护费）</v>
      </c>
      <c r="D12" s="132"/>
      <c r="E12" s="132"/>
      <c r="F12" s="26"/>
      <c r="G12" s="26"/>
      <c r="H12" s="26"/>
      <c r="I12" s="26"/>
      <c r="J12" s="26">
        <f>+现金流量!J12</f>
        <v>1000</v>
      </c>
      <c r="K12" s="26">
        <f>+现金流量!K12</f>
        <v>1000</v>
      </c>
      <c r="L12" s="26">
        <f>+现金流量!L12</f>
        <v>1000</v>
      </c>
      <c r="M12" s="26">
        <f>+现金流量!M12</f>
        <v>1000</v>
      </c>
      <c r="N12" s="26">
        <f>+现金流量!N12</f>
        <v>1000</v>
      </c>
      <c r="O12" s="26">
        <f>+现金流量!O12</f>
        <v>1000</v>
      </c>
      <c r="P12" s="26">
        <f>+现金流量!P12</f>
        <v>1000</v>
      </c>
      <c r="Q12" s="26">
        <f>+现金流量!Q12</f>
        <v>1000</v>
      </c>
      <c r="R12" s="26">
        <f>+现金流量!R12</f>
        <v>1000</v>
      </c>
      <c r="S12" s="26">
        <f>+现金流量!S12</f>
        <v>1000</v>
      </c>
      <c r="T12" s="26">
        <f>+现金流量!T12</f>
        <v>1000</v>
      </c>
      <c r="U12" s="26">
        <f>+现金流量!U12</f>
        <v>1000</v>
      </c>
      <c r="V12" s="26">
        <f>+现金流量!V12</f>
        <v>1000</v>
      </c>
      <c r="W12" s="26">
        <f>+现金流量!W12</f>
        <v>1000</v>
      </c>
      <c r="X12" s="26">
        <f>+现金流量!X12</f>
        <v>1000</v>
      </c>
      <c r="Y12" s="26">
        <f>+现金流量!Y12</f>
        <v>1000</v>
      </c>
      <c r="Z12" s="26">
        <f>+现金流量!Z12</f>
        <v>1000</v>
      </c>
      <c r="AA12" s="26">
        <f>+现金流量!AA12</f>
        <v>1000</v>
      </c>
      <c r="AB12" s="26">
        <f>+现金流量!AB12</f>
        <v>1000</v>
      </c>
      <c r="AC12" s="26">
        <f>+现金流量!AC12</f>
        <v>1000</v>
      </c>
      <c r="AD12" s="26">
        <f>+现金流量!AD12</f>
        <v>1000</v>
      </c>
      <c r="AE12" s="26">
        <f>+现金流量!AE12</f>
        <v>1000</v>
      </c>
      <c r="AF12" s="26">
        <f>+现金流量!AF12</f>
        <v>1000</v>
      </c>
      <c r="AG12" s="26">
        <f>+现金流量!AG12</f>
        <v>1000</v>
      </c>
      <c r="AH12" s="26">
        <f>+现金流量!AH12</f>
        <v>1000</v>
      </c>
      <c r="AI12" s="26"/>
      <c r="AJ12" s="26"/>
      <c r="AK12" s="26"/>
      <c r="AL12" s="26"/>
      <c r="AM12" s="26"/>
      <c r="AN12" s="26">
        <f t="shared" si="2"/>
        <v>25000</v>
      </c>
    </row>
    <row r="13" spans="2:40">
      <c r="B13" s="191"/>
      <c r="C13" s="19" t="s">
        <v>648</v>
      </c>
      <c r="D13" s="132"/>
      <c r="E13" s="132"/>
      <c r="F13" s="26"/>
      <c r="G13" s="26"/>
      <c r="H13" s="26"/>
      <c r="I13" s="26"/>
      <c r="J13" s="26">
        <f t="shared" ref="J13:AM13" si="4">SUM(J8:J12)</f>
        <v>11879.68</v>
      </c>
      <c r="K13" s="26">
        <f t="shared" si="4"/>
        <v>12864.64</v>
      </c>
      <c r="L13" s="26">
        <f t="shared" si="4"/>
        <v>13849.6</v>
      </c>
      <c r="M13" s="26">
        <f t="shared" si="4"/>
        <v>13849.6</v>
      </c>
      <c r="N13" s="26">
        <f t="shared" si="4"/>
        <v>13849.6</v>
      </c>
      <c r="O13" s="26">
        <f t="shared" si="4"/>
        <v>13849.6</v>
      </c>
      <c r="P13" s="26">
        <f t="shared" si="4"/>
        <v>13849.6</v>
      </c>
      <c r="Q13" s="26">
        <f t="shared" si="4"/>
        <v>13849.6</v>
      </c>
      <c r="R13" s="26">
        <f t="shared" si="4"/>
        <v>13849.6</v>
      </c>
      <c r="S13" s="26">
        <f t="shared" si="4"/>
        <v>13849.6</v>
      </c>
      <c r="T13" s="26">
        <f t="shared" si="4"/>
        <v>13849.6</v>
      </c>
      <c r="U13" s="26">
        <f t="shared" si="4"/>
        <v>13849.6</v>
      </c>
      <c r="V13" s="26">
        <f t="shared" si="4"/>
        <v>13849.6</v>
      </c>
      <c r="W13" s="26">
        <f t="shared" si="4"/>
        <v>13849.6</v>
      </c>
      <c r="X13" s="26">
        <f t="shared" si="4"/>
        <v>13849.6</v>
      </c>
      <c r="Y13" s="26">
        <f t="shared" si="4"/>
        <v>13849.6</v>
      </c>
      <c r="Z13" s="26">
        <f t="shared" si="4"/>
        <v>13849.6</v>
      </c>
      <c r="AA13" s="26">
        <f t="shared" si="4"/>
        <v>13849.6</v>
      </c>
      <c r="AB13" s="26">
        <f t="shared" si="4"/>
        <v>13849.6</v>
      </c>
      <c r="AC13" s="26">
        <f t="shared" si="4"/>
        <v>13849.6</v>
      </c>
      <c r="AD13" s="26">
        <f t="shared" si="4"/>
        <v>13849.6</v>
      </c>
      <c r="AE13" s="26">
        <f t="shared" si="4"/>
        <v>13849.6</v>
      </c>
      <c r="AF13" s="26">
        <f t="shared" si="4"/>
        <v>13849.6</v>
      </c>
      <c r="AG13" s="26">
        <f t="shared" si="4"/>
        <v>13849.6</v>
      </c>
      <c r="AH13" s="26" t="e">
        <f t="shared" si="4"/>
        <v>#REF!</v>
      </c>
      <c r="AI13" s="26">
        <f t="shared" si="4"/>
        <v>0</v>
      </c>
      <c r="AJ13" s="26">
        <f t="shared" si="4"/>
        <v>0</v>
      </c>
      <c r="AK13" s="26">
        <f t="shared" si="4"/>
        <v>0</v>
      </c>
      <c r="AL13" s="26">
        <f t="shared" si="4"/>
        <v>0</v>
      </c>
      <c r="AM13" s="26">
        <f t="shared" si="4"/>
        <v>0</v>
      </c>
      <c r="AN13" s="26" t="e">
        <f t="shared" si="2"/>
        <v>#REF!</v>
      </c>
    </row>
    <row r="14" spans="2:40">
      <c r="B14" s="239">
        <v>2</v>
      </c>
      <c r="C14" s="14" t="s">
        <v>649</v>
      </c>
      <c r="D14" s="132"/>
      <c r="E14" s="13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ht="27.75" customHeight="true" spans="2:41">
      <c r="B15" s="191">
        <v>2.1</v>
      </c>
      <c r="C15" s="240" t="s">
        <v>650</v>
      </c>
      <c r="D15" s="152"/>
      <c r="E15" s="152"/>
      <c r="F15" s="26"/>
      <c r="G15" s="26" t="e">
        <f>利息!F19-利息!F11</f>
        <v>#REF!</v>
      </c>
      <c r="H15" s="26" t="e">
        <f>利息!G19-利息!G11</f>
        <v>#REF!</v>
      </c>
      <c r="I15" s="26" t="e">
        <f>利息!H19-利息!H11</f>
        <v>#REF!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 t="e">
        <f t="shared" ref="AN15:AN18" si="5">SUM(G15:AM15)</f>
        <v>#REF!</v>
      </c>
      <c r="AO15" s="234">
        <v>1</v>
      </c>
    </row>
    <row r="16" ht="21.75" customHeight="true" spans="2:40">
      <c r="B16" s="191">
        <v>2.2</v>
      </c>
      <c r="C16" s="15" t="s">
        <v>612</v>
      </c>
      <c r="D16" s="152"/>
      <c r="E16" s="152"/>
      <c r="F16" s="26"/>
      <c r="G16" s="26"/>
      <c r="H16" s="26"/>
      <c r="I16" s="26"/>
      <c r="J16" s="26" t="e">
        <f>流动资金!F20</f>
        <v>#REF!</v>
      </c>
      <c r="K16" s="26" t="e">
        <f>流动资金!G20</f>
        <v>#REF!</v>
      </c>
      <c r="L16" s="26" t="e">
        <f>流动资金!H20</f>
        <v>#REF!</v>
      </c>
      <c r="M16" s="26" t="e">
        <f>流动资金!I20</f>
        <v>#REF!</v>
      </c>
      <c r="N16" s="26" t="e">
        <f>流动资金!J20</f>
        <v>#REF!</v>
      </c>
      <c r="O16" s="26" t="e">
        <f>流动资金!K20</f>
        <v>#REF!</v>
      </c>
      <c r="P16" s="26" t="e">
        <f>流动资金!L20</f>
        <v>#REF!</v>
      </c>
      <c r="Q16" s="26" t="e">
        <f>流动资金!M20</f>
        <v>#REF!</v>
      </c>
      <c r="R16" s="26" t="e">
        <f>流动资金!N20</f>
        <v>#REF!</v>
      </c>
      <c r="S16" s="26" t="e">
        <f>流动资金!O20</f>
        <v>#REF!</v>
      </c>
      <c r="T16" s="26" t="e">
        <f>流动资金!P20</f>
        <v>#REF!</v>
      </c>
      <c r="U16" s="26" t="e">
        <f>流动资金!Q20</f>
        <v>#REF!</v>
      </c>
      <c r="V16" s="26" t="e">
        <f>流动资金!R20</f>
        <v>#REF!</v>
      </c>
      <c r="W16" s="26" t="e">
        <f>流动资金!S20</f>
        <v>#REF!</v>
      </c>
      <c r="X16" s="26" t="e">
        <f>流动资金!T20</f>
        <v>#REF!</v>
      </c>
      <c r="Y16" s="26" t="e">
        <f>流动资金!U20</f>
        <v>#REF!</v>
      </c>
      <c r="Z16" s="26" t="e">
        <f>流动资金!V20</f>
        <v>#REF!</v>
      </c>
      <c r="AA16" s="26" t="e">
        <f>流动资金!W20</f>
        <v>#REF!</v>
      </c>
      <c r="AB16" s="26" t="e">
        <f>流动资金!X20</f>
        <v>#REF!</v>
      </c>
      <c r="AC16" s="26" t="e">
        <f>流动资金!Y20</f>
        <v>#REF!</v>
      </c>
      <c r="AD16" s="26" t="e">
        <f>流动资金!Z20</f>
        <v>#REF!</v>
      </c>
      <c r="AE16" s="26" t="e">
        <f>流动资金!AA20</f>
        <v>#REF!</v>
      </c>
      <c r="AF16" s="26">
        <f>流动资金!AB20</f>
        <v>0</v>
      </c>
      <c r="AG16" s="26">
        <f>流动资金!AC20</f>
        <v>0</v>
      </c>
      <c r="AH16" s="26">
        <f>流动资金!AD20</f>
        <v>0</v>
      </c>
      <c r="AI16" s="26">
        <f>流动资金!AE20</f>
        <v>0</v>
      </c>
      <c r="AJ16" s="26">
        <f>流动资金!AF20</f>
        <v>0</v>
      </c>
      <c r="AK16" s="26">
        <f>流动资金!AG20</f>
        <v>0</v>
      </c>
      <c r="AL16" s="26">
        <f>流动资金!AH20</f>
        <v>0</v>
      </c>
      <c r="AM16" s="26">
        <f>流动资金!AI20</f>
        <v>0</v>
      </c>
      <c r="AN16" s="26" t="e">
        <f t="shared" si="5"/>
        <v>#REF!</v>
      </c>
    </row>
    <row r="17" spans="2:40">
      <c r="B17" s="191">
        <v>2.3</v>
      </c>
      <c r="C17" s="15" t="s">
        <v>681</v>
      </c>
      <c r="D17" s="132"/>
      <c r="E17" s="132"/>
      <c r="F17" s="26"/>
      <c r="G17" s="26"/>
      <c r="H17" s="26"/>
      <c r="I17" s="26"/>
      <c r="J17" s="26" t="e">
        <f>财务计划!J37</f>
        <v>#REF!</v>
      </c>
      <c r="K17" s="26" t="e">
        <f>财务计划!K37</f>
        <v>#REF!</v>
      </c>
      <c r="L17" s="26" t="e">
        <f>财务计划!L37</f>
        <v>#REF!</v>
      </c>
      <c r="M17" s="26" t="e">
        <f>财务计划!M37</f>
        <v>#REF!</v>
      </c>
      <c r="N17" s="26" t="e">
        <f>财务计划!N37</f>
        <v>#REF!</v>
      </c>
      <c r="O17" s="26" t="e">
        <f>财务计划!O37</f>
        <v>#REF!</v>
      </c>
      <c r="P17" s="26" t="e">
        <f>财务计划!P37</f>
        <v>#REF!</v>
      </c>
      <c r="Q17" s="26" t="e">
        <f>财务计划!Q37</f>
        <v>#REF!</v>
      </c>
      <c r="R17" s="26" t="e">
        <f>财务计划!R37</f>
        <v>#REF!</v>
      </c>
      <c r="S17" s="26" t="e">
        <f>财务计划!S37</f>
        <v>#REF!</v>
      </c>
      <c r="T17" s="26" t="e">
        <f>财务计划!T37</f>
        <v>#REF!</v>
      </c>
      <c r="U17" s="26" t="e">
        <f>财务计划!U37</f>
        <v>#REF!</v>
      </c>
      <c r="V17" s="26" t="e">
        <f>财务计划!V37</f>
        <v>#REF!</v>
      </c>
      <c r="W17" s="26" t="e">
        <f>财务计划!W37</f>
        <v>#REF!</v>
      </c>
      <c r="X17" s="26" t="e">
        <f>财务计划!X37</f>
        <v>#REF!</v>
      </c>
      <c r="Y17" s="26" t="e">
        <f>财务计划!Y37</f>
        <v>#REF!</v>
      </c>
      <c r="Z17" s="26" t="e">
        <f>财务计划!Z37</f>
        <v>#REF!</v>
      </c>
      <c r="AA17" s="26" t="e">
        <f>财务计划!AA37</f>
        <v>#REF!</v>
      </c>
      <c r="AB17" s="26" t="e">
        <f>财务计划!AB37</f>
        <v>#REF!</v>
      </c>
      <c r="AC17" s="26" t="e">
        <f>财务计划!AC37</f>
        <v>#REF!</v>
      </c>
      <c r="AD17" s="26" t="e">
        <f>财务计划!AD37</f>
        <v>#REF!</v>
      </c>
      <c r="AE17" s="26" t="e">
        <f>财务计划!AE37</f>
        <v>#REF!</v>
      </c>
      <c r="AF17" s="26">
        <f>财务计划!AF37</f>
        <v>0</v>
      </c>
      <c r="AG17" s="26">
        <f>财务计划!AG37</f>
        <v>0</v>
      </c>
      <c r="AH17" s="26" t="e">
        <f>财务计划!AH37</f>
        <v>#REF!</v>
      </c>
      <c r="AI17" s="26">
        <f>财务计划!AI37</f>
        <v>0</v>
      </c>
      <c r="AJ17" s="26">
        <f>财务计划!AJ37</f>
        <v>0</v>
      </c>
      <c r="AK17" s="26">
        <f>财务计划!AK37</f>
        <v>0</v>
      </c>
      <c r="AL17" s="26">
        <f>财务计划!AL37</f>
        <v>0</v>
      </c>
      <c r="AM17" s="26">
        <f>财务计划!AM37</f>
        <v>0</v>
      </c>
      <c r="AN17" s="26" t="e">
        <f t="shared" si="5"/>
        <v>#REF!</v>
      </c>
    </row>
    <row r="18" spans="2:40">
      <c r="B18" s="191">
        <v>2.4</v>
      </c>
      <c r="C18" s="15" t="s">
        <v>682</v>
      </c>
      <c r="D18" s="132"/>
      <c r="E18" s="132"/>
      <c r="F18" s="26" t="e">
        <f>借款偿还!G13</f>
        <v>#REF!</v>
      </c>
      <c r="G18" s="26" t="e">
        <f>借款偿还!H13</f>
        <v>#REF!</v>
      </c>
      <c r="H18" s="26" t="e">
        <f>借款偿还!I13</f>
        <v>#REF!</v>
      </c>
      <c r="I18" s="26" t="e">
        <f>借款偿还!J13</f>
        <v>#REF!</v>
      </c>
      <c r="J18" s="26" t="e">
        <f>借款偿还!K13+年成本分析!D19+年成本分析!D18</f>
        <v>#REF!</v>
      </c>
      <c r="K18" s="26" t="e">
        <f>借款偿还!L13+年成本分析!E19+年成本分析!E18</f>
        <v>#REF!</v>
      </c>
      <c r="L18" s="26" t="e">
        <f>借款偿还!M13+年成本分析!F19+年成本分析!F18</f>
        <v>#REF!</v>
      </c>
      <c r="M18" s="26" t="e">
        <f>借款偿还!N13+年成本分析!G19+年成本分析!G18</f>
        <v>#REF!</v>
      </c>
      <c r="N18" s="26" t="e">
        <f>借款偿还!O13+年成本分析!H19+年成本分析!H18</f>
        <v>#REF!</v>
      </c>
      <c r="O18" s="26" t="e">
        <f>借款偿还!P13+年成本分析!I19+年成本分析!I18</f>
        <v>#REF!</v>
      </c>
      <c r="P18" s="26" t="e">
        <f>借款偿还!Q13+年成本分析!J19+年成本分析!J18</f>
        <v>#REF!</v>
      </c>
      <c r="Q18" s="26" t="e">
        <f>借款偿还!R13+年成本分析!K19+年成本分析!K18</f>
        <v>#REF!</v>
      </c>
      <c r="R18" s="26" t="e">
        <f>借款偿还!S13+年成本分析!L19+年成本分析!L18</f>
        <v>#REF!</v>
      </c>
      <c r="S18" s="26" t="e">
        <f>借款偿还!T13+年成本分析!M19+年成本分析!M18</f>
        <v>#REF!</v>
      </c>
      <c r="T18" s="26" t="e">
        <f>借款偿还!U13+年成本分析!N19+年成本分析!N18</f>
        <v>#REF!</v>
      </c>
      <c r="U18" s="26" t="e">
        <f>借款偿还!V13+年成本分析!O19+年成本分析!O18</f>
        <v>#REF!</v>
      </c>
      <c r="V18" s="26" t="e">
        <f>借款偿还!W13+年成本分析!P19+年成本分析!P18</f>
        <v>#REF!</v>
      </c>
      <c r="W18" s="26" t="e">
        <f>借款偿还!X13+年成本分析!Q19+年成本分析!Q18</f>
        <v>#REF!</v>
      </c>
      <c r="X18" s="26" t="e">
        <f>借款偿还!Y13+年成本分析!R19+年成本分析!R18</f>
        <v>#REF!</v>
      </c>
      <c r="Y18" s="26" t="e">
        <f>借款偿还!Z13+年成本分析!S19+年成本分析!S18</f>
        <v>#REF!</v>
      </c>
      <c r="Z18" s="26" t="e">
        <f>借款偿还!AA13+年成本分析!T19+年成本分析!T18</f>
        <v>#REF!</v>
      </c>
      <c r="AA18" s="26" t="e">
        <f>借款偿还!AB13+年成本分析!U19+年成本分析!U18</f>
        <v>#REF!</v>
      </c>
      <c r="AB18" s="26" t="e">
        <f>借款偿还!AC13+年成本分析!V19+年成本分析!V18</f>
        <v>#REF!</v>
      </c>
      <c r="AC18" s="26" t="e">
        <f>借款偿还!AD13+年成本分析!W19+年成本分析!W18</f>
        <v>#REF!</v>
      </c>
      <c r="AD18" s="26" t="e">
        <f>借款偿还!AE13+年成本分析!X19+年成本分析!X18</f>
        <v>#REF!</v>
      </c>
      <c r="AE18" s="26" t="e">
        <f>借款偿还!AF13+年成本分析!Y19+年成本分析!Y18</f>
        <v>#REF!</v>
      </c>
      <c r="AF18" s="26" t="e">
        <f>借款偿还!AG13+年成本分析!Z19+年成本分析!Z18</f>
        <v>#REF!</v>
      </c>
      <c r="AG18" s="26" t="e">
        <f>借款偿还!AH13+年成本分析!AA19+年成本分析!AA18</f>
        <v>#REF!</v>
      </c>
      <c r="AH18" s="26" t="e">
        <f>借款偿还!AI13+年成本分析!AB19+年成本分析!AB18</f>
        <v>#REF!</v>
      </c>
      <c r="AI18" s="26" t="e">
        <f>借款偿还!AJ13+年成本分析!AC19+年成本分析!AC18</f>
        <v>#REF!</v>
      </c>
      <c r="AJ18" s="26" t="e">
        <f>借款偿还!AK13+年成本分析!AD19+年成本分析!AD18</f>
        <v>#REF!</v>
      </c>
      <c r="AK18" s="26" t="e">
        <f>借款偿还!AL13+年成本分析!AE19+年成本分析!AE18</f>
        <v>#REF!</v>
      </c>
      <c r="AL18" s="26" t="e">
        <f>借款偿还!AM13+年成本分析!AF19+年成本分析!AF18</f>
        <v>#REF!</v>
      </c>
      <c r="AM18" s="26" t="e">
        <f>借款偿还!AN13+年成本分析!AG19+年成本分析!AG18</f>
        <v>#REF!</v>
      </c>
      <c r="AN18" s="26" t="e">
        <f t="shared" si="5"/>
        <v>#REF!</v>
      </c>
    </row>
    <row r="19" hidden="true" spans="2:40">
      <c r="B19" s="191">
        <v>2.5</v>
      </c>
      <c r="C19" s="15" t="s">
        <v>683</v>
      </c>
      <c r="D19" s="132"/>
      <c r="E19" s="132"/>
      <c r="F19" s="26">
        <f>借款偿还!G11</f>
        <v>0</v>
      </c>
      <c r="G19" s="26">
        <f>借款偿还!H11</f>
        <v>0</v>
      </c>
      <c r="H19" s="26">
        <f>借款偿还!I11</f>
        <v>0</v>
      </c>
      <c r="I19" s="26">
        <f>借款偿还!J11</f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2:41">
      <c r="B20" s="191">
        <v>2.5</v>
      </c>
      <c r="C20" s="15" t="s">
        <v>651</v>
      </c>
      <c r="D20" s="132"/>
      <c r="E20" s="132"/>
      <c r="F20" s="26"/>
      <c r="G20" s="26"/>
      <c r="H20" s="26"/>
      <c r="I20" s="26"/>
      <c r="J20" s="26" t="e">
        <f>年成本分析!D25*$AO$20</f>
        <v>#REF!</v>
      </c>
      <c r="K20" s="26" t="e">
        <f>年成本分析!E25*$AO$20</f>
        <v>#REF!</v>
      </c>
      <c r="L20" s="26" t="e">
        <f>年成本分析!F25*$AO$20</f>
        <v>#REF!</v>
      </c>
      <c r="M20" s="26" t="e">
        <f>年成本分析!G25*$AO$20</f>
        <v>#REF!</v>
      </c>
      <c r="N20" s="26" t="e">
        <f>年成本分析!H25*$AO$20</f>
        <v>#REF!</v>
      </c>
      <c r="O20" s="26" t="e">
        <f>年成本分析!I25*$AO$20</f>
        <v>#REF!</v>
      </c>
      <c r="P20" s="26" t="e">
        <f>年成本分析!J25*$AO$20</f>
        <v>#REF!</v>
      </c>
      <c r="Q20" s="26" t="e">
        <f>年成本分析!K25*$AO$20</f>
        <v>#REF!</v>
      </c>
      <c r="R20" s="26" t="e">
        <f>年成本分析!L25*$AO$20</f>
        <v>#REF!</v>
      </c>
      <c r="S20" s="26" t="e">
        <f>年成本分析!M25*$AO$20</f>
        <v>#REF!</v>
      </c>
      <c r="T20" s="26" t="e">
        <f>年成本分析!N25*$AO$20</f>
        <v>#REF!</v>
      </c>
      <c r="U20" s="26" t="e">
        <f>年成本分析!O25*$AO$20</f>
        <v>#REF!</v>
      </c>
      <c r="V20" s="26" t="e">
        <f>年成本分析!P25*$AO$20</f>
        <v>#REF!</v>
      </c>
      <c r="W20" s="26" t="e">
        <f>年成本分析!Q25*$AO$20</f>
        <v>#REF!</v>
      </c>
      <c r="X20" s="26" t="e">
        <f>年成本分析!R25*$AO$20</f>
        <v>#REF!</v>
      </c>
      <c r="Y20" s="26" t="e">
        <f>年成本分析!S25*$AO$20</f>
        <v>#REF!</v>
      </c>
      <c r="Z20" s="26" t="e">
        <f>年成本分析!T25*$AO$20</f>
        <v>#REF!</v>
      </c>
      <c r="AA20" s="26" t="e">
        <f>年成本分析!U25*$AO$20</f>
        <v>#REF!</v>
      </c>
      <c r="AB20" s="26" t="e">
        <f>年成本分析!V25*$AO$20</f>
        <v>#REF!</v>
      </c>
      <c r="AC20" s="26" t="e">
        <f>年成本分析!W25*$AO$20</f>
        <v>#REF!</v>
      </c>
      <c r="AD20" s="26" t="e">
        <f>年成本分析!X25*$AO$20</f>
        <v>#REF!</v>
      </c>
      <c r="AE20" s="26" t="e">
        <f>年成本分析!Y25*$AO$20</f>
        <v>#REF!</v>
      </c>
      <c r="AF20" s="26" t="e">
        <f>年成本分析!Z25*$AO$20</f>
        <v>#REF!</v>
      </c>
      <c r="AG20" s="26" t="e">
        <f>年成本分析!AA25*$AO$20</f>
        <v>#REF!</v>
      </c>
      <c r="AH20" s="26" t="e">
        <f>年成本分析!AB25*$AO$20</f>
        <v>#REF!</v>
      </c>
      <c r="AI20" s="26">
        <f>年成本分析!AC25*$AO$20</f>
        <v>0</v>
      </c>
      <c r="AJ20" s="26">
        <f>年成本分析!AD25*$AO$20</f>
        <v>0</v>
      </c>
      <c r="AK20" s="26">
        <f>年成本分析!AE25*$AO$20</f>
        <v>0</v>
      </c>
      <c r="AL20" s="26">
        <f>年成本分析!AF25*$AO$20</f>
        <v>0</v>
      </c>
      <c r="AM20" s="26">
        <f>年成本分析!AG25*$AO$20</f>
        <v>0</v>
      </c>
      <c r="AN20" s="26" t="e">
        <f t="shared" ref="AN20:AN27" si="6">SUM(G20:AM20)</f>
        <v>#REF!</v>
      </c>
      <c r="AO20" s="234">
        <v>1</v>
      </c>
    </row>
    <row r="21" spans="2:40">
      <c r="B21" s="191">
        <v>2.6</v>
      </c>
      <c r="C21" s="15" t="s">
        <v>652</v>
      </c>
      <c r="D21" s="132"/>
      <c r="E21" s="132"/>
      <c r="F21" s="26"/>
      <c r="G21" s="26"/>
      <c r="H21" s="26"/>
      <c r="I21" s="26"/>
      <c r="J21" s="26">
        <f>年成本分析!D39</f>
        <v>236.3904</v>
      </c>
      <c r="K21" s="26">
        <f>年成本分析!E39</f>
        <v>265.9392</v>
      </c>
      <c r="L21" s="26">
        <f>年成本分析!F39</f>
        <v>295.488</v>
      </c>
      <c r="M21" s="26">
        <f>年成本分析!G39</f>
        <v>295.488</v>
      </c>
      <c r="N21" s="26">
        <f>年成本分析!H39</f>
        <v>295.488</v>
      </c>
      <c r="O21" s="26">
        <f>年成本分析!I39</f>
        <v>295.488</v>
      </c>
      <c r="P21" s="26">
        <f>年成本分析!J39</f>
        <v>295.488</v>
      </c>
      <c r="Q21" s="26">
        <f>年成本分析!K39</f>
        <v>295.488</v>
      </c>
      <c r="R21" s="26">
        <f>年成本分析!L39</f>
        <v>295.488</v>
      </c>
      <c r="S21" s="26">
        <f>年成本分析!M39</f>
        <v>295.488</v>
      </c>
      <c r="T21" s="26">
        <f>年成本分析!N39</f>
        <v>295.488</v>
      </c>
      <c r="U21" s="26">
        <f>年成本分析!O39</f>
        <v>295.488</v>
      </c>
      <c r="V21" s="26">
        <f>年成本分析!P39</f>
        <v>295.488</v>
      </c>
      <c r="W21" s="26">
        <f>年成本分析!Q39</f>
        <v>295.488</v>
      </c>
      <c r="X21" s="26">
        <f>年成本分析!R39</f>
        <v>295.488</v>
      </c>
      <c r="Y21" s="26">
        <f>年成本分析!S39</f>
        <v>295.488</v>
      </c>
      <c r="Z21" s="26">
        <f>年成本分析!T39</f>
        <v>295.488</v>
      </c>
      <c r="AA21" s="26">
        <f>年成本分析!U39</f>
        <v>295.488</v>
      </c>
      <c r="AB21" s="26">
        <f>年成本分析!V39</f>
        <v>295.488</v>
      </c>
      <c r="AC21" s="26">
        <f>年成本分析!W39</f>
        <v>295.488</v>
      </c>
      <c r="AD21" s="26">
        <f>年成本分析!X39</f>
        <v>295.488</v>
      </c>
      <c r="AE21" s="26">
        <f>年成本分析!Y39</f>
        <v>295.488</v>
      </c>
      <c r="AF21" s="26">
        <f>年成本分析!Z39</f>
        <v>295.488</v>
      </c>
      <c r="AG21" s="26">
        <f>年成本分析!AA39</f>
        <v>295.488</v>
      </c>
      <c r="AH21" s="26">
        <f>年成本分析!AB39</f>
        <v>295.488</v>
      </c>
      <c r="AI21" s="26">
        <f>年成本分析!AC39</f>
        <v>0</v>
      </c>
      <c r="AJ21" s="26">
        <f>年成本分析!AD39</f>
        <v>0</v>
      </c>
      <c r="AK21" s="26">
        <f>年成本分析!AE39</f>
        <v>0</v>
      </c>
      <c r="AL21" s="26">
        <f>年成本分析!AF39</f>
        <v>0</v>
      </c>
      <c r="AM21" s="26">
        <f>年成本分析!AG39</f>
        <v>0</v>
      </c>
      <c r="AN21" s="26">
        <f t="shared" si="6"/>
        <v>7298.5536</v>
      </c>
    </row>
    <row r="22" hidden="true" spans="2:40">
      <c r="B22" s="191">
        <v>2.8</v>
      </c>
      <c r="C22" s="240" t="s">
        <v>522</v>
      </c>
      <c r="D22" s="132"/>
      <c r="E22" s="13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f>损益表!X8</f>
        <v>295.488</v>
      </c>
      <c r="AE22" s="26">
        <f>损益表!Y8</f>
        <v>295.488</v>
      </c>
      <c r="AF22" s="26">
        <f>损益表!Z8</f>
        <v>295.488</v>
      </c>
      <c r="AG22" s="26">
        <f>损益表!AA8</f>
        <v>295.488</v>
      </c>
      <c r="AH22" s="26">
        <f>损益表!AB8</f>
        <v>295.488</v>
      </c>
      <c r="AI22" s="26">
        <f>损益表!AC8</f>
        <v>0</v>
      </c>
      <c r="AJ22" s="26">
        <f>损益表!AD8</f>
        <v>0</v>
      </c>
      <c r="AK22" s="26">
        <f>损益表!AE8</f>
        <v>0</v>
      </c>
      <c r="AL22" s="26">
        <f>损益表!AF8</f>
        <v>0</v>
      </c>
      <c r="AM22" s="26">
        <f>损益表!AG8</f>
        <v>0</v>
      </c>
      <c r="AN22" s="26">
        <f t="shared" si="6"/>
        <v>1477.44</v>
      </c>
    </row>
    <row r="23" spans="2:40">
      <c r="B23" s="191">
        <v>2.7</v>
      </c>
      <c r="C23" s="15" t="s">
        <v>684</v>
      </c>
      <c r="D23" s="132"/>
      <c r="E23" s="132"/>
      <c r="F23" s="26"/>
      <c r="G23" s="26"/>
      <c r="H23" s="26"/>
      <c r="I23" s="26"/>
      <c r="J23" s="26" t="e">
        <f>损益表!D13</f>
        <v>#REF!</v>
      </c>
      <c r="K23" s="26" t="e">
        <f>损益表!E13</f>
        <v>#REF!</v>
      </c>
      <c r="L23" s="26" t="e">
        <f>损益表!F13</f>
        <v>#REF!</v>
      </c>
      <c r="M23" s="26" t="e">
        <f>损益表!G13</f>
        <v>#REF!</v>
      </c>
      <c r="N23" s="26" t="e">
        <f>损益表!H13</f>
        <v>#REF!</v>
      </c>
      <c r="O23" s="26" t="e">
        <f>损益表!I13</f>
        <v>#REF!</v>
      </c>
      <c r="P23" s="26" t="e">
        <f>损益表!J13</f>
        <v>#REF!</v>
      </c>
      <c r="Q23" s="26" t="e">
        <f>损益表!K13</f>
        <v>#REF!</v>
      </c>
      <c r="R23" s="26" t="e">
        <f>损益表!L13</f>
        <v>#REF!</v>
      </c>
      <c r="S23" s="26" t="e">
        <f>损益表!M13</f>
        <v>#REF!</v>
      </c>
      <c r="T23" s="26" t="e">
        <f>损益表!N13</f>
        <v>#REF!</v>
      </c>
      <c r="U23" s="26" t="e">
        <f>损益表!O13</f>
        <v>#REF!</v>
      </c>
      <c r="V23" s="26" t="e">
        <f>损益表!P13</f>
        <v>#REF!</v>
      </c>
      <c r="W23" s="26" t="e">
        <f>损益表!Q13</f>
        <v>#REF!</v>
      </c>
      <c r="X23" s="26" t="e">
        <f>损益表!R13</f>
        <v>#REF!</v>
      </c>
      <c r="Y23" s="26" t="e">
        <f>损益表!S13</f>
        <v>#REF!</v>
      </c>
      <c r="Z23" s="26" t="e">
        <f>损益表!T13</f>
        <v>#REF!</v>
      </c>
      <c r="AA23" s="26" t="e">
        <f>损益表!U13</f>
        <v>#REF!</v>
      </c>
      <c r="AB23" s="26" t="e">
        <f>损益表!V13</f>
        <v>#REF!</v>
      </c>
      <c r="AC23" s="26" t="e">
        <f>损益表!W13</f>
        <v>#REF!</v>
      </c>
      <c r="AD23" s="26" t="e">
        <f>损益表!X13</f>
        <v>#REF!</v>
      </c>
      <c r="AE23" s="26" t="e">
        <f>损益表!Y13</f>
        <v>#REF!</v>
      </c>
      <c r="AF23" s="26" t="e">
        <f>损益表!Z13</f>
        <v>#REF!</v>
      </c>
      <c r="AG23" s="26" t="e">
        <f>损益表!AA13</f>
        <v>#REF!</v>
      </c>
      <c r="AH23" s="26" t="e">
        <f>损益表!AB13</f>
        <v>#REF!</v>
      </c>
      <c r="AI23" s="26">
        <f>损益表!AC13</f>
        <v>0</v>
      </c>
      <c r="AJ23" s="26">
        <f>损益表!AD13</f>
        <v>0</v>
      </c>
      <c r="AK23" s="26">
        <f>损益表!AE13</f>
        <v>0</v>
      </c>
      <c r="AL23" s="26">
        <f>损益表!AF13</f>
        <v>0</v>
      </c>
      <c r="AM23" s="26">
        <f>损益表!AG13</f>
        <v>0</v>
      </c>
      <c r="AN23" s="26" t="e">
        <f t="shared" si="6"/>
        <v>#REF!</v>
      </c>
    </row>
    <row r="24" hidden="true" spans="2:40">
      <c r="B24" s="191">
        <v>2.7</v>
      </c>
      <c r="C24" s="15"/>
      <c r="D24" s="132"/>
      <c r="E24" s="13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>
        <f t="shared" si="6"/>
        <v>0</v>
      </c>
    </row>
    <row r="25" hidden="true" spans="2:40">
      <c r="B25" s="191">
        <v>2.8</v>
      </c>
      <c r="C25" s="15"/>
      <c r="D25" s="132"/>
      <c r="E25" s="132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>
        <f t="shared" si="6"/>
        <v>0</v>
      </c>
    </row>
    <row r="26" spans="2:40">
      <c r="B26" s="191"/>
      <c r="C26" s="19" t="s">
        <v>654</v>
      </c>
      <c r="D26" s="152">
        <f t="shared" ref="D26:AM26" si="7">SUM(D15:D25)</f>
        <v>0</v>
      </c>
      <c r="E26" s="152">
        <f t="shared" si="7"/>
        <v>0</v>
      </c>
      <c r="F26" s="26" t="e">
        <f t="shared" si="7"/>
        <v>#REF!</v>
      </c>
      <c r="G26" s="26" t="e">
        <f t="shared" si="7"/>
        <v>#REF!</v>
      </c>
      <c r="H26" s="26" t="e">
        <f t="shared" si="7"/>
        <v>#REF!</v>
      </c>
      <c r="I26" s="26" t="e">
        <f t="shared" si="7"/>
        <v>#REF!</v>
      </c>
      <c r="J26" s="26" t="e">
        <f t="shared" si="7"/>
        <v>#REF!</v>
      </c>
      <c r="K26" s="26" t="e">
        <f t="shared" si="7"/>
        <v>#REF!</v>
      </c>
      <c r="L26" s="26" t="e">
        <f t="shared" si="7"/>
        <v>#REF!</v>
      </c>
      <c r="M26" s="26" t="e">
        <f t="shared" si="7"/>
        <v>#REF!</v>
      </c>
      <c r="N26" s="26" t="e">
        <f t="shared" si="7"/>
        <v>#REF!</v>
      </c>
      <c r="O26" s="26" t="e">
        <f t="shared" si="7"/>
        <v>#REF!</v>
      </c>
      <c r="P26" s="26" t="e">
        <f t="shared" si="7"/>
        <v>#REF!</v>
      </c>
      <c r="Q26" s="26" t="e">
        <f t="shared" si="7"/>
        <v>#REF!</v>
      </c>
      <c r="R26" s="26" t="e">
        <f t="shared" si="7"/>
        <v>#REF!</v>
      </c>
      <c r="S26" s="26" t="e">
        <f t="shared" si="7"/>
        <v>#REF!</v>
      </c>
      <c r="T26" s="26" t="e">
        <f t="shared" si="7"/>
        <v>#REF!</v>
      </c>
      <c r="U26" s="26" t="e">
        <f t="shared" si="7"/>
        <v>#REF!</v>
      </c>
      <c r="V26" s="26" t="e">
        <f t="shared" si="7"/>
        <v>#REF!</v>
      </c>
      <c r="W26" s="26" t="e">
        <f t="shared" si="7"/>
        <v>#REF!</v>
      </c>
      <c r="X26" s="26" t="e">
        <f t="shared" si="7"/>
        <v>#REF!</v>
      </c>
      <c r="Y26" s="26" t="e">
        <f t="shared" si="7"/>
        <v>#REF!</v>
      </c>
      <c r="Z26" s="26" t="e">
        <f t="shared" si="7"/>
        <v>#REF!</v>
      </c>
      <c r="AA26" s="26" t="e">
        <f t="shared" si="7"/>
        <v>#REF!</v>
      </c>
      <c r="AB26" s="26" t="e">
        <f t="shared" si="7"/>
        <v>#REF!</v>
      </c>
      <c r="AC26" s="26" t="e">
        <f t="shared" si="7"/>
        <v>#REF!</v>
      </c>
      <c r="AD26" s="26" t="e">
        <f t="shared" si="7"/>
        <v>#REF!</v>
      </c>
      <c r="AE26" s="26" t="e">
        <f t="shared" si="7"/>
        <v>#REF!</v>
      </c>
      <c r="AF26" s="26" t="e">
        <f t="shared" si="7"/>
        <v>#REF!</v>
      </c>
      <c r="AG26" s="26" t="e">
        <f t="shared" si="7"/>
        <v>#REF!</v>
      </c>
      <c r="AH26" s="26" t="e">
        <f t="shared" si="7"/>
        <v>#REF!</v>
      </c>
      <c r="AI26" s="26" t="e">
        <f t="shared" si="7"/>
        <v>#REF!</v>
      </c>
      <c r="AJ26" s="26" t="e">
        <f t="shared" si="7"/>
        <v>#REF!</v>
      </c>
      <c r="AK26" s="26" t="e">
        <f t="shared" si="7"/>
        <v>#REF!</v>
      </c>
      <c r="AL26" s="26" t="e">
        <f t="shared" si="7"/>
        <v>#REF!</v>
      </c>
      <c r="AM26" s="26" t="e">
        <f t="shared" si="7"/>
        <v>#REF!</v>
      </c>
      <c r="AN26" s="26" t="e">
        <f t="shared" si="6"/>
        <v>#REF!</v>
      </c>
    </row>
    <row r="27" spans="2:40">
      <c r="B27" s="239">
        <v>3</v>
      </c>
      <c r="C27" s="15" t="s">
        <v>655</v>
      </c>
      <c r="D27" s="152">
        <f t="shared" ref="D27:AM27" si="8">D13-D26</f>
        <v>0</v>
      </c>
      <c r="E27" s="152">
        <f t="shared" si="8"/>
        <v>0</v>
      </c>
      <c r="F27" s="250" t="e">
        <f t="shared" si="8"/>
        <v>#REF!</v>
      </c>
      <c r="G27" s="250" t="e">
        <f t="shared" si="8"/>
        <v>#REF!</v>
      </c>
      <c r="H27" s="250" t="e">
        <f t="shared" si="8"/>
        <v>#REF!</v>
      </c>
      <c r="I27" s="250" t="e">
        <f t="shared" si="8"/>
        <v>#REF!</v>
      </c>
      <c r="J27" s="250" t="e">
        <f t="shared" si="8"/>
        <v>#REF!</v>
      </c>
      <c r="K27" s="250" t="e">
        <f t="shared" si="8"/>
        <v>#REF!</v>
      </c>
      <c r="L27" s="250" t="e">
        <f t="shared" si="8"/>
        <v>#REF!</v>
      </c>
      <c r="M27" s="250" t="e">
        <f t="shared" si="8"/>
        <v>#REF!</v>
      </c>
      <c r="N27" s="250" t="e">
        <f t="shared" si="8"/>
        <v>#REF!</v>
      </c>
      <c r="O27" s="250" t="e">
        <f t="shared" si="8"/>
        <v>#REF!</v>
      </c>
      <c r="P27" s="250" t="e">
        <f t="shared" si="8"/>
        <v>#REF!</v>
      </c>
      <c r="Q27" s="250" t="e">
        <f t="shared" si="8"/>
        <v>#REF!</v>
      </c>
      <c r="R27" s="250" t="e">
        <f t="shared" si="8"/>
        <v>#REF!</v>
      </c>
      <c r="S27" s="250" t="e">
        <f t="shared" si="8"/>
        <v>#REF!</v>
      </c>
      <c r="T27" s="250" t="e">
        <f t="shared" si="8"/>
        <v>#REF!</v>
      </c>
      <c r="U27" s="250" t="e">
        <f t="shared" si="8"/>
        <v>#REF!</v>
      </c>
      <c r="V27" s="250" t="e">
        <f t="shared" si="8"/>
        <v>#REF!</v>
      </c>
      <c r="W27" s="250" t="e">
        <f t="shared" si="8"/>
        <v>#REF!</v>
      </c>
      <c r="X27" s="250" t="e">
        <f t="shared" si="8"/>
        <v>#REF!</v>
      </c>
      <c r="Y27" s="250" t="e">
        <f t="shared" si="8"/>
        <v>#REF!</v>
      </c>
      <c r="Z27" s="250" t="e">
        <f t="shared" si="8"/>
        <v>#REF!</v>
      </c>
      <c r="AA27" s="250" t="e">
        <f t="shared" si="8"/>
        <v>#REF!</v>
      </c>
      <c r="AB27" s="250" t="e">
        <f t="shared" si="8"/>
        <v>#REF!</v>
      </c>
      <c r="AC27" s="250" t="e">
        <f t="shared" si="8"/>
        <v>#REF!</v>
      </c>
      <c r="AD27" s="250" t="e">
        <f t="shared" si="8"/>
        <v>#REF!</v>
      </c>
      <c r="AE27" s="250" t="e">
        <f t="shared" si="8"/>
        <v>#REF!</v>
      </c>
      <c r="AF27" s="250" t="e">
        <f t="shared" si="8"/>
        <v>#REF!</v>
      </c>
      <c r="AG27" s="250" t="e">
        <f t="shared" si="8"/>
        <v>#REF!</v>
      </c>
      <c r="AH27" s="250" t="e">
        <f t="shared" si="8"/>
        <v>#REF!</v>
      </c>
      <c r="AI27" s="250" t="e">
        <f t="shared" si="8"/>
        <v>#REF!</v>
      </c>
      <c r="AJ27" s="250" t="e">
        <f t="shared" si="8"/>
        <v>#REF!</v>
      </c>
      <c r="AK27" s="250" t="e">
        <f t="shared" si="8"/>
        <v>#REF!</v>
      </c>
      <c r="AL27" s="250" t="e">
        <f t="shared" si="8"/>
        <v>#REF!</v>
      </c>
      <c r="AM27" s="250" t="e">
        <f t="shared" si="8"/>
        <v>#REF!</v>
      </c>
      <c r="AN27" s="26" t="e">
        <f t="shared" si="6"/>
        <v>#REF!</v>
      </c>
    </row>
    <row r="28" spans="2:40">
      <c r="B28" s="239">
        <v>4</v>
      </c>
      <c r="C28" s="240" t="s">
        <v>656</v>
      </c>
      <c r="D28" s="152">
        <f>D27</f>
        <v>0</v>
      </c>
      <c r="E28" s="152">
        <f t="shared" ref="E28:I28" si="9">D28+E27</f>
        <v>0</v>
      </c>
      <c r="F28" s="250" t="e">
        <f t="shared" si="9"/>
        <v>#REF!</v>
      </c>
      <c r="G28" s="250" t="e">
        <f t="shared" si="9"/>
        <v>#REF!</v>
      </c>
      <c r="H28" s="250" t="e">
        <f t="shared" si="9"/>
        <v>#REF!</v>
      </c>
      <c r="I28" s="250" t="e">
        <f t="shared" si="9"/>
        <v>#REF!</v>
      </c>
      <c r="J28" s="250" t="e">
        <f t="shared" ref="J28:AM28" si="10">IF(J5&gt;zq,0,I28+J27)</f>
        <v>#REF!</v>
      </c>
      <c r="K28" s="250" t="e">
        <f t="shared" si="10"/>
        <v>#REF!</v>
      </c>
      <c r="L28" s="250" t="e">
        <f t="shared" si="10"/>
        <v>#REF!</v>
      </c>
      <c r="M28" s="250" t="e">
        <f t="shared" si="10"/>
        <v>#REF!</v>
      </c>
      <c r="N28" s="250" t="e">
        <f t="shared" si="10"/>
        <v>#REF!</v>
      </c>
      <c r="O28" s="250" t="e">
        <f t="shared" si="10"/>
        <v>#REF!</v>
      </c>
      <c r="P28" s="250" t="e">
        <f t="shared" si="10"/>
        <v>#REF!</v>
      </c>
      <c r="Q28" s="250" t="e">
        <f t="shared" si="10"/>
        <v>#REF!</v>
      </c>
      <c r="R28" s="250" t="e">
        <f t="shared" si="10"/>
        <v>#REF!</v>
      </c>
      <c r="S28" s="250" t="e">
        <f t="shared" si="10"/>
        <v>#REF!</v>
      </c>
      <c r="T28" s="250" t="e">
        <f t="shared" si="10"/>
        <v>#REF!</v>
      </c>
      <c r="U28" s="250" t="e">
        <f t="shared" si="10"/>
        <v>#REF!</v>
      </c>
      <c r="V28" s="250" t="e">
        <f t="shared" si="10"/>
        <v>#REF!</v>
      </c>
      <c r="W28" s="250" t="e">
        <f t="shared" si="10"/>
        <v>#REF!</v>
      </c>
      <c r="X28" s="250" t="e">
        <f t="shared" si="10"/>
        <v>#REF!</v>
      </c>
      <c r="Y28" s="250" t="e">
        <f t="shared" si="10"/>
        <v>#REF!</v>
      </c>
      <c r="Z28" s="250" t="e">
        <f t="shared" si="10"/>
        <v>#REF!</v>
      </c>
      <c r="AA28" s="250" t="e">
        <f t="shared" si="10"/>
        <v>#REF!</v>
      </c>
      <c r="AB28" s="250" t="e">
        <f t="shared" si="10"/>
        <v>#REF!</v>
      </c>
      <c r="AC28" s="250" t="e">
        <f t="shared" si="10"/>
        <v>#REF!</v>
      </c>
      <c r="AD28" s="250" t="e">
        <f t="shared" si="10"/>
        <v>#REF!</v>
      </c>
      <c r="AE28" s="250" t="e">
        <f t="shared" si="10"/>
        <v>#REF!</v>
      </c>
      <c r="AF28" s="250" t="e">
        <f t="shared" si="10"/>
        <v>#REF!</v>
      </c>
      <c r="AG28" s="250" t="e">
        <f t="shared" si="10"/>
        <v>#REF!</v>
      </c>
      <c r="AH28" s="250" t="e">
        <f t="shared" si="10"/>
        <v>#REF!</v>
      </c>
      <c r="AI28" s="250">
        <f t="shared" si="10"/>
        <v>0</v>
      </c>
      <c r="AJ28" s="250">
        <f t="shared" si="10"/>
        <v>0</v>
      </c>
      <c r="AK28" s="250">
        <f t="shared" si="10"/>
        <v>0</v>
      </c>
      <c r="AL28" s="250">
        <f t="shared" si="10"/>
        <v>0</v>
      </c>
      <c r="AM28" s="250">
        <f t="shared" si="10"/>
        <v>0</v>
      </c>
      <c r="AN28" s="26"/>
    </row>
    <row r="29" spans="2:40">
      <c r="B29" s="239">
        <v>5</v>
      </c>
      <c r="C29" s="240" t="s">
        <v>657</v>
      </c>
      <c r="D29" s="152">
        <f t="shared" ref="D29:G29" si="11">D13-D26</f>
        <v>0</v>
      </c>
      <c r="E29" s="152">
        <f t="shared" si="11"/>
        <v>0</v>
      </c>
      <c r="F29" s="250" t="e">
        <f t="shared" si="11"/>
        <v>#REF!</v>
      </c>
      <c r="G29" s="250" t="e">
        <f t="shared" si="11"/>
        <v>#REF!</v>
      </c>
      <c r="H29" s="250" t="e">
        <f t="shared" ref="H29:AM29" si="12">H13-(H26-H23)</f>
        <v>#REF!</v>
      </c>
      <c r="I29" s="250" t="e">
        <f t="shared" si="12"/>
        <v>#REF!</v>
      </c>
      <c r="J29" s="250" t="e">
        <f t="shared" si="12"/>
        <v>#REF!</v>
      </c>
      <c r="K29" s="250" t="e">
        <f t="shared" si="12"/>
        <v>#REF!</v>
      </c>
      <c r="L29" s="250" t="e">
        <f t="shared" si="12"/>
        <v>#REF!</v>
      </c>
      <c r="M29" s="250" t="e">
        <f t="shared" si="12"/>
        <v>#REF!</v>
      </c>
      <c r="N29" s="250" t="e">
        <f t="shared" si="12"/>
        <v>#REF!</v>
      </c>
      <c r="O29" s="250" t="e">
        <f t="shared" si="12"/>
        <v>#REF!</v>
      </c>
      <c r="P29" s="250" t="e">
        <f t="shared" si="12"/>
        <v>#REF!</v>
      </c>
      <c r="Q29" s="250" t="e">
        <f t="shared" si="12"/>
        <v>#REF!</v>
      </c>
      <c r="R29" s="250" t="e">
        <f t="shared" si="12"/>
        <v>#REF!</v>
      </c>
      <c r="S29" s="250" t="e">
        <f t="shared" si="12"/>
        <v>#REF!</v>
      </c>
      <c r="T29" s="250" t="e">
        <f t="shared" si="12"/>
        <v>#REF!</v>
      </c>
      <c r="U29" s="250" t="e">
        <f t="shared" si="12"/>
        <v>#REF!</v>
      </c>
      <c r="V29" s="250" t="e">
        <f t="shared" si="12"/>
        <v>#REF!</v>
      </c>
      <c r="W29" s="250" t="e">
        <f t="shared" si="12"/>
        <v>#REF!</v>
      </c>
      <c r="X29" s="250" t="e">
        <f t="shared" si="12"/>
        <v>#REF!</v>
      </c>
      <c r="Y29" s="250" t="e">
        <f t="shared" si="12"/>
        <v>#REF!</v>
      </c>
      <c r="Z29" s="250" t="e">
        <f t="shared" si="12"/>
        <v>#REF!</v>
      </c>
      <c r="AA29" s="250" t="e">
        <f t="shared" si="12"/>
        <v>#REF!</v>
      </c>
      <c r="AB29" s="250" t="e">
        <f t="shared" si="12"/>
        <v>#REF!</v>
      </c>
      <c r="AC29" s="250" t="e">
        <f t="shared" si="12"/>
        <v>#REF!</v>
      </c>
      <c r="AD29" s="250" t="e">
        <f t="shared" si="12"/>
        <v>#REF!</v>
      </c>
      <c r="AE29" s="250" t="e">
        <f t="shared" si="12"/>
        <v>#REF!</v>
      </c>
      <c r="AF29" s="250" t="e">
        <f t="shared" si="12"/>
        <v>#REF!</v>
      </c>
      <c r="AG29" s="250" t="e">
        <f t="shared" si="12"/>
        <v>#REF!</v>
      </c>
      <c r="AH29" s="250" t="e">
        <f t="shared" si="12"/>
        <v>#REF!</v>
      </c>
      <c r="AI29" s="250" t="e">
        <f t="shared" si="12"/>
        <v>#REF!</v>
      </c>
      <c r="AJ29" s="250" t="e">
        <f t="shared" si="12"/>
        <v>#REF!</v>
      </c>
      <c r="AK29" s="250" t="e">
        <f t="shared" si="12"/>
        <v>#REF!</v>
      </c>
      <c r="AL29" s="250" t="e">
        <f t="shared" si="12"/>
        <v>#REF!</v>
      </c>
      <c r="AM29" s="250" t="e">
        <f t="shared" si="12"/>
        <v>#REF!</v>
      </c>
      <c r="AN29" s="26" t="e">
        <f>SUM(G29:AM29)</f>
        <v>#REF!</v>
      </c>
    </row>
    <row r="30" spans="2:40">
      <c r="B30" s="239">
        <v>6</v>
      </c>
      <c r="C30" s="240" t="s">
        <v>658</v>
      </c>
      <c r="D30" s="152">
        <f>D29</f>
        <v>0</v>
      </c>
      <c r="E30" s="152">
        <f t="shared" ref="E30:I30" si="13">D30+E29</f>
        <v>0</v>
      </c>
      <c r="F30" s="250" t="e">
        <f t="shared" si="13"/>
        <v>#REF!</v>
      </c>
      <c r="G30" s="250" t="e">
        <f t="shared" si="13"/>
        <v>#REF!</v>
      </c>
      <c r="H30" s="250" t="e">
        <f t="shared" si="13"/>
        <v>#REF!</v>
      </c>
      <c r="I30" s="250" t="e">
        <f t="shared" si="13"/>
        <v>#REF!</v>
      </c>
      <c r="J30" s="250" t="e">
        <f t="shared" ref="J30:AM30" si="14">IF(J5&gt;zq,0,I30+J29)</f>
        <v>#REF!</v>
      </c>
      <c r="K30" s="250" t="e">
        <f t="shared" si="14"/>
        <v>#REF!</v>
      </c>
      <c r="L30" s="250" t="e">
        <f t="shared" si="14"/>
        <v>#REF!</v>
      </c>
      <c r="M30" s="250" t="e">
        <f t="shared" si="14"/>
        <v>#REF!</v>
      </c>
      <c r="N30" s="250" t="e">
        <f t="shared" si="14"/>
        <v>#REF!</v>
      </c>
      <c r="O30" s="250" t="e">
        <f t="shared" si="14"/>
        <v>#REF!</v>
      </c>
      <c r="P30" s="250" t="e">
        <f t="shared" si="14"/>
        <v>#REF!</v>
      </c>
      <c r="Q30" s="250" t="e">
        <f t="shared" si="14"/>
        <v>#REF!</v>
      </c>
      <c r="R30" s="250" t="e">
        <f t="shared" si="14"/>
        <v>#REF!</v>
      </c>
      <c r="S30" s="250" t="e">
        <f t="shared" si="14"/>
        <v>#REF!</v>
      </c>
      <c r="T30" s="250" t="e">
        <f t="shared" si="14"/>
        <v>#REF!</v>
      </c>
      <c r="U30" s="250" t="e">
        <f t="shared" si="14"/>
        <v>#REF!</v>
      </c>
      <c r="V30" s="250" t="e">
        <f t="shared" si="14"/>
        <v>#REF!</v>
      </c>
      <c r="W30" s="250" t="e">
        <f t="shared" si="14"/>
        <v>#REF!</v>
      </c>
      <c r="X30" s="250" t="e">
        <f t="shared" si="14"/>
        <v>#REF!</v>
      </c>
      <c r="Y30" s="250" t="e">
        <f t="shared" si="14"/>
        <v>#REF!</v>
      </c>
      <c r="Z30" s="250" t="e">
        <f t="shared" si="14"/>
        <v>#REF!</v>
      </c>
      <c r="AA30" s="250" t="e">
        <f t="shared" si="14"/>
        <v>#REF!</v>
      </c>
      <c r="AB30" s="250" t="e">
        <f t="shared" si="14"/>
        <v>#REF!</v>
      </c>
      <c r="AC30" s="250" t="e">
        <f t="shared" si="14"/>
        <v>#REF!</v>
      </c>
      <c r="AD30" s="250" t="e">
        <f t="shared" si="14"/>
        <v>#REF!</v>
      </c>
      <c r="AE30" s="250" t="e">
        <f t="shared" si="14"/>
        <v>#REF!</v>
      </c>
      <c r="AF30" s="250" t="e">
        <f t="shared" si="14"/>
        <v>#REF!</v>
      </c>
      <c r="AG30" s="250" t="e">
        <f t="shared" si="14"/>
        <v>#REF!</v>
      </c>
      <c r="AH30" s="250" t="e">
        <f t="shared" si="14"/>
        <v>#REF!</v>
      </c>
      <c r="AI30" s="250">
        <f t="shared" si="14"/>
        <v>0</v>
      </c>
      <c r="AJ30" s="250">
        <f t="shared" si="14"/>
        <v>0</v>
      </c>
      <c r="AK30" s="250">
        <f t="shared" si="14"/>
        <v>0</v>
      </c>
      <c r="AL30" s="250">
        <f t="shared" si="14"/>
        <v>0</v>
      </c>
      <c r="AM30" s="250">
        <f t="shared" si="14"/>
        <v>0</v>
      </c>
      <c r="AN30" s="26"/>
    </row>
    <row r="31" spans="2:40">
      <c r="B31" s="241"/>
      <c r="C31" s="242"/>
      <c r="D31" s="243"/>
      <c r="E31" s="243"/>
      <c r="F31" s="243"/>
      <c r="G31" s="243"/>
      <c r="H31" s="243"/>
      <c r="I31" s="243"/>
      <c r="K31" s="252"/>
      <c r="L31" s="252"/>
      <c r="M31" s="256" t="s">
        <v>659</v>
      </c>
      <c r="N31" s="252"/>
      <c r="O31" s="257" t="s">
        <v>660</v>
      </c>
      <c r="P31" s="252"/>
      <c r="W31" s="252"/>
      <c r="X31" s="252"/>
      <c r="Y31" s="252"/>
      <c r="Z31" s="252"/>
      <c r="AA31" s="252"/>
      <c r="AB31" s="252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9"/>
    </row>
    <row r="32" spans="2:40">
      <c r="B32" s="241"/>
      <c r="K32" s="253" t="s">
        <v>661</v>
      </c>
      <c r="L32" s="253" t="s">
        <v>662</v>
      </c>
      <c r="M32" s="258" t="e">
        <f>IRR(D27:AM27)</f>
        <v>#VALUE!</v>
      </c>
      <c r="N32" s="252"/>
      <c r="O32" s="259" t="e">
        <f>M41</f>
        <v>#VALUE!</v>
      </c>
      <c r="P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70"/>
    </row>
    <row r="33" spans="2:40">
      <c r="B33" s="241"/>
      <c r="K33" s="253" t="s">
        <v>663</v>
      </c>
      <c r="L33" s="253" t="s">
        <v>664</v>
      </c>
      <c r="M33" s="260" t="e">
        <f>D35*D36+E35*E36+F35*F36+G35*G36+H35*H36+I35*I36</f>
        <v>#REF!</v>
      </c>
      <c r="N33" s="252" t="s">
        <v>665</v>
      </c>
      <c r="O33" s="261" t="e">
        <f>M47</f>
        <v>#REF!</v>
      </c>
      <c r="P33" s="252" t="s">
        <v>665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70"/>
    </row>
    <row r="34" spans="2:40">
      <c r="B34" s="244"/>
      <c r="C34" s="245"/>
      <c r="D34" s="246"/>
      <c r="E34" s="246"/>
      <c r="F34" s="246"/>
      <c r="G34" s="246"/>
      <c r="H34" s="246"/>
      <c r="I34" s="254"/>
      <c r="J34" s="254"/>
      <c r="K34" s="255" t="s">
        <v>666</v>
      </c>
      <c r="L34" s="255" t="s">
        <v>667</v>
      </c>
      <c r="M34" s="262" t="e">
        <f>SUM(F38:AM39)</f>
        <v>#REF!</v>
      </c>
      <c r="N34" s="263" t="s">
        <v>513</v>
      </c>
      <c r="O34" s="264" t="e">
        <f>M45</f>
        <v>#REF!</v>
      </c>
      <c r="P34" s="263" t="s">
        <v>513</v>
      </c>
      <c r="Q34" s="254"/>
      <c r="R34" s="254"/>
      <c r="S34" s="254"/>
      <c r="T34" s="254"/>
      <c r="U34" s="254"/>
      <c r="V34" s="254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71"/>
    </row>
    <row r="35" hidden="true" spans="2:40">
      <c r="B35" s="247"/>
      <c r="D35" s="120">
        <f t="shared" ref="D35:I35" si="15">IF(D5=1,1,0)</f>
        <v>0</v>
      </c>
      <c r="E35" s="120">
        <f t="shared" si="15"/>
        <v>0</v>
      </c>
      <c r="F35" s="120">
        <f t="shared" si="15"/>
        <v>0</v>
      </c>
      <c r="G35" s="120">
        <f t="shared" si="15"/>
        <v>0</v>
      </c>
      <c r="H35" s="120">
        <f t="shared" si="15"/>
        <v>1</v>
      </c>
      <c r="I35" s="120">
        <f t="shared" si="15"/>
        <v>0</v>
      </c>
      <c r="K35" s="253"/>
      <c r="L35" s="253"/>
      <c r="M35" s="265"/>
      <c r="N35" s="252"/>
      <c r="O35" s="252"/>
      <c r="P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</row>
    <row r="36" hidden="true" spans="2:40">
      <c r="B36" s="247"/>
      <c r="D36" s="248" t="e">
        <f>NPV('总表 (2)'!$D$45,D27:$AM$27)</f>
        <v>#REF!</v>
      </c>
      <c r="E36" s="248" t="e">
        <f>NPV('总表 (2)'!$D$45,E27:$AM$27)</f>
        <v>#REF!</v>
      </c>
      <c r="F36" s="248" t="e">
        <f>NPV('总表 (2)'!$D$45,F27:$AM$27)</f>
        <v>#REF!</v>
      </c>
      <c r="G36" s="248" t="e">
        <f>NPV('总表 (2)'!$D$45,G27:$AM$27)</f>
        <v>#REF!</v>
      </c>
      <c r="H36" s="248" t="e">
        <f>NPV('总表 (2)'!$D$45,H27:$AM$27)</f>
        <v>#REF!</v>
      </c>
      <c r="I36" s="248" t="e">
        <f>NPV('总表 (2)'!$D$45,I27:$AM$27)</f>
        <v>#REF!</v>
      </c>
      <c r="K36" s="253"/>
      <c r="L36" s="253"/>
      <c r="M36" s="265"/>
      <c r="N36" s="252"/>
      <c r="O36" s="252"/>
      <c r="P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</row>
    <row r="37" hidden="true" spans="2:40">
      <c r="B37" s="247"/>
      <c r="D37" s="248" t="e">
        <f>NPV('总表 (2)'!$D$45,D29:$AM$29)</f>
        <v>#REF!</v>
      </c>
      <c r="E37" s="248" t="e">
        <f>NPV('总表 (2)'!$D$45,E29:$AM$29)</f>
        <v>#REF!</v>
      </c>
      <c r="F37" s="248" t="e">
        <f>NPV('总表 (2)'!$D$45,F29:$AM$29)</f>
        <v>#REF!</v>
      </c>
      <c r="G37" s="248" t="e">
        <f>NPV('总表 (2)'!$D$45,G29:$AM$29)</f>
        <v>#REF!</v>
      </c>
      <c r="H37" s="248" t="e">
        <f>NPV('总表 (2)'!$D$45,H29:$AM$29)</f>
        <v>#REF!</v>
      </c>
      <c r="I37" s="248" t="e">
        <f>NPV('总表 (2)'!$D$45,I29:$AM$29)</f>
        <v>#REF!</v>
      </c>
      <c r="K37" s="253"/>
      <c r="L37" s="253"/>
      <c r="M37" s="265"/>
      <c r="N37" s="252"/>
      <c r="O37" s="252"/>
      <c r="P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</row>
    <row r="38" hidden="true" spans="6:39">
      <c r="F38" s="236" t="e">
        <f t="shared" ref="F38:AM38" si="16">IF(F28&lt;0,1,0)</f>
        <v>#REF!</v>
      </c>
      <c r="J38" s="236" t="e">
        <f t="shared" si="16"/>
        <v>#REF!</v>
      </c>
      <c r="K38" s="236" t="e">
        <f t="shared" si="16"/>
        <v>#REF!</v>
      </c>
      <c r="L38" s="236" t="e">
        <f t="shared" si="16"/>
        <v>#REF!</v>
      </c>
      <c r="M38" s="236" t="e">
        <f t="shared" si="16"/>
        <v>#REF!</v>
      </c>
      <c r="N38" s="236" t="e">
        <f t="shared" si="16"/>
        <v>#REF!</v>
      </c>
      <c r="O38" s="236" t="e">
        <f t="shared" si="16"/>
        <v>#REF!</v>
      </c>
      <c r="P38" s="236" t="e">
        <f t="shared" si="16"/>
        <v>#REF!</v>
      </c>
      <c r="Q38" s="236" t="e">
        <f t="shared" si="16"/>
        <v>#REF!</v>
      </c>
      <c r="R38" s="236" t="e">
        <f t="shared" si="16"/>
        <v>#REF!</v>
      </c>
      <c r="S38" s="236" t="e">
        <f t="shared" si="16"/>
        <v>#REF!</v>
      </c>
      <c r="T38" s="236" t="e">
        <f t="shared" si="16"/>
        <v>#REF!</v>
      </c>
      <c r="U38" s="236" t="e">
        <f t="shared" si="16"/>
        <v>#REF!</v>
      </c>
      <c r="V38" s="236" t="e">
        <f t="shared" si="16"/>
        <v>#REF!</v>
      </c>
      <c r="W38" s="236" t="e">
        <f t="shared" si="16"/>
        <v>#REF!</v>
      </c>
      <c r="X38" s="236" t="e">
        <f t="shared" si="16"/>
        <v>#REF!</v>
      </c>
      <c r="Y38" s="236" t="e">
        <f t="shared" si="16"/>
        <v>#REF!</v>
      </c>
      <c r="Z38" s="236" t="e">
        <f t="shared" si="16"/>
        <v>#REF!</v>
      </c>
      <c r="AA38" s="236" t="e">
        <f t="shared" si="16"/>
        <v>#REF!</v>
      </c>
      <c r="AB38" s="236" t="e">
        <f t="shared" si="16"/>
        <v>#REF!</v>
      </c>
      <c r="AC38" s="236" t="e">
        <f t="shared" si="16"/>
        <v>#REF!</v>
      </c>
      <c r="AD38" s="236" t="e">
        <f t="shared" si="16"/>
        <v>#REF!</v>
      </c>
      <c r="AE38" s="236" t="e">
        <f t="shared" si="16"/>
        <v>#REF!</v>
      </c>
      <c r="AF38" s="236" t="e">
        <f t="shared" si="16"/>
        <v>#REF!</v>
      </c>
      <c r="AG38" s="236" t="e">
        <f t="shared" si="16"/>
        <v>#REF!</v>
      </c>
      <c r="AH38" s="236" t="e">
        <f t="shared" si="16"/>
        <v>#REF!</v>
      </c>
      <c r="AI38" s="236">
        <f t="shared" si="16"/>
        <v>0</v>
      </c>
      <c r="AJ38" s="236">
        <f t="shared" si="16"/>
        <v>0</v>
      </c>
      <c r="AK38" s="236">
        <f t="shared" si="16"/>
        <v>0</v>
      </c>
      <c r="AL38" s="236">
        <f t="shared" si="16"/>
        <v>0</v>
      </c>
      <c r="AM38" s="236">
        <f t="shared" si="16"/>
        <v>0</v>
      </c>
    </row>
    <row r="39" hidden="true" spans="6:39">
      <c r="F39" s="236" t="e">
        <f t="shared" ref="F39:AM39" si="17">IF(F38+G38=1,-F28/G27,0)</f>
        <v>#REF!</v>
      </c>
      <c r="J39" s="236" t="e">
        <f t="shared" si="17"/>
        <v>#REF!</v>
      </c>
      <c r="K39" s="236" t="e">
        <f t="shared" si="17"/>
        <v>#REF!</v>
      </c>
      <c r="L39" s="236" t="e">
        <f t="shared" si="17"/>
        <v>#REF!</v>
      </c>
      <c r="M39" s="236" t="e">
        <f t="shared" si="17"/>
        <v>#REF!</v>
      </c>
      <c r="N39" s="236" t="e">
        <f t="shared" si="17"/>
        <v>#REF!</v>
      </c>
      <c r="O39" s="236" t="e">
        <f t="shared" si="17"/>
        <v>#REF!</v>
      </c>
      <c r="P39" s="236" t="e">
        <f t="shared" si="17"/>
        <v>#REF!</v>
      </c>
      <c r="Q39" s="236" t="e">
        <f t="shared" si="17"/>
        <v>#REF!</v>
      </c>
      <c r="R39" s="236" t="e">
        <f t="shared" si="17"/>
        <v>#REF!</v>
      </c>
      <c r="S39" s="236" t="e">
        <f t="shared" si="17"/>
        <v>#REF!</v>
      </c>
      <c r="T39" s="236" t="e">
        <f t="shared" si="17"/>
        <v>#REF!</v>
      </c>
      <c r="U39" s="236" t="e">
        <f t="shared" si="17"/>
        <v>#REF!</v>
      </c>
      <c r="V39" s="236" t="e">
        <f t="shared" si="17"/>
        <v>#REF!</v>
      </c>
      <c r="W39" s="236" t="e">
        <f t="shared" si="17"/>
        <v>#REF!</v>
      </c>
      <c r="X39" s="236" t="e">
        <f t="shared" si="17"/>
        <v>#REF!</v>
      </c>
      <c r="Y39" s="236" t="e">
        <f t="shared" si="17"/>
        <v>#REF!</v>
      </c>
      <c r="Z39" s="236" t="e">
        <f t="shared" si="17"/>
        <v>#REF!</v>
      </c>
      <c r="AA39" s="236" t="e">
        <f t="shared" si="17"/>
        <v>#REF!</v>
      </c>
      <c r="AB39" s="236" t="e">
        <f t="shared" si="17"/>
        <v>#REF!</v>
      </c>
      <c r="AC39" s="236" t="e">
        <f t="shared" si="17"/>
        <v>#REF!</v>
      </c>
      <c r="AD39" s="236" t="e">
        <f t="shared" si="17"/>
        <v>#REF!</v>
      </c>
      <c r="AE39" s="236" t="e">
        <f t="shared" si="17"/>
        <v>#REF!</v>
      </c>
      <c r="AF39" s="236" t="e">
        <f t="shared" si="17"/>
        <v>#REF!</v>
      </c>
      <c r="AG39" s="236" t="e">
        <f t="shared" si="17"/>
        <v>#REF!</v>
      </c>
      <c r="AH39" s="236" t="e">
        <f t="shared" si="17"/>
        <v>#REF!</v>
      </c>
      <c r="AI39" s="236">
        <f t="shared" si="17"/>
        <v>0</v>
      </c>
      <c r="AJ39" s="236">
        <f t="shared" si="17"/>
        <v>0</v>
      </c>
      <c r="AK39" s="236">
        <f t="shared" si="17"/>
        <v>0</v>
      </c>
      <c r="AL39" s="236">
        <f t="shared" si="17"/>
        <v>0</v>
      </c>
      <c r="AM39" s="236">
        <f t="shared" si="17"/>
        <v>0</v>
      </c>
    </row>
    <row r="40" hidden="true" spans="3:3">
      <c r="C40" s="249"/>
    </row>
    <row r="41" hidden="true" spans="13:13">
      <c r="M41" s="258" t="e">
        <f>IRR(F29:AM29)</f>
        <v>#VALUE!</v>
      </c>
    </row>
    <row r="42" hidden="true" spans="6:39">
      <c r="F42" s="236" t="e">
        <f t="shared" ref="F42:AM42" si="18">IF(F30&lt;0,1,0)</f>
        <v>#REF!</v>
      </c>
      <c r="J42" s="236" t="e">
        <f t="shared" si="18"/>
        <v>#REF!</v>
      </c>
      <c r="K42" s="236" t="e">
        <f t="shared" si="18"/>
        <v>#REF!</v>
      </c>
      <c r="L42" s="236" t="e">
        <f t="shared" si="18"/>
        <v>#REF!</v>
      </c>
      <c r="M42" s="236" t="e">
        <f t="shared" si="18"/>
        <v>#REF!</v>
      </c>
      <c r="N42" s="236" t="e">
        <f t="shared" si="18"/>
        <v>#REF!</v>
      </c>
      <c r="O42" s="236" t="e">
        <f t="shared" si="18"/>
        <v>#REF!</v>
      </c>
      <c r="P42" s="236" t="e">
        <f t="shared" si="18"/>
        <v>#REF!</v>
      </c>
      <c r="Q42" s="236" t="e">
        <f t="shared" si="18"/>
        <v>#REF!</v>
      </c>
      <c r="R42" s="236" t="e">
        <f t="shared" si="18"/>
        <v>#REF!</v>
      </c>
      <c r="S42" s="236" t="e">
        <f t="shared" si="18"/>
        <v>#REF!</v>
      </c>
      <c r="T42" s="236" t="e">
        <f t="shared" si="18"/>
        <v>#REF!</v>
      </c>
      <c r="U42" s="236" t="e">
        <f t="shared" si="18"/>
        <v>#REF!</v>
      </c>
      <c r="V42" s="236" t="e">
        <f t="shared" si="18"/>
        <v>#REF!</v>
      </c>
      <c r="W42" s="236" t="e">
        <f t="shared" si="18"/>
        <v>#REF!</v>
      </c>
      <c r="X42" s="236" t="e">
        <f t="shared" si="18"/>
        <v>#REF!</v>
      </c>
      <c r="Y42" s="236" t="e">
        <f t="shared" si="18"/>
        <v>#REF!</v>
      </c>
      <c r="Z42" s="236" t="e">
        <f t="shared" si="18"/>
        <v>#REF!</v>
      </c>
      <c r="AA42" s="236" t="e">
        <f t="shared" si="18"/>
        <v>#REF!</v>
      </c>
      <c r="AB42" s="236" t="e">
        <f t="shared" si="18"/>
        <v>#REF!</v>
      </c>
      <c r="AC42" s="236" t="e">
        <f t="shared" si="18"/>
        <v>#REF!</v>
      </c>
      <c r="AD42" s="236" t="e">
        <f t="shared" si="18"/>
        <v>#REF!</v>
      </c>
      <c r="AE42" s="236" t="e">
        <f t="shared" si="18"/>
        <v>#REF!</v>
      </c>
      <c r="AF42" s="236" t="e">
        <f t="shared" si="18"/>
        <v>#REF!</v>
      </c>
      <c r="AG42" s="236" t="e">
        <f t="shared" si="18"/>
        <v>#REF!</v>
      </c>
      <c r="AH42" s="236" t="e">
        <f t="shared" si="18"/>
        <v>#REF!</v>
      </c>
      <c r="AI42" s="236">
        <f t="shared" si="18"/>
        <v>0</v>
      </c>
      <c r="AJ42" s="236">
        <f t="shared" si="18"/>
        <v>0</v>
      </c>
      <c r="AK42" s="236">
        <f t="shared" si="18"/>
        <v>0</v>
      </c>
      <c r="AL42" s="236">
        <f t="shared" si="18"/>
        <v>0</v>
      </c>
      <c r="AM42" s="236">
        <f t="shared" si="18"/>
        <v>0</v>
      </c>
    </row>
    <row r="43" hidden="true" spans="6:39">
      <c r="F43" s="236" t="e">
        <f t="shared" ref="F43:AM43" si="19">IF(F42+G42=1,-F30/G29,0)</f>
        <v>#REF!</v>
      </c>
      <c r="J43" s="236" t="e">
        <f t="shared" si="19"/>
        <v>#REF!</v>
      </c>
      <c r="K43" s="236" t="e">
        <f t="shared" si="19"/>
        <v>#REF!</v>
      </c>
      <c r="L43" s="236" t="e">
        <f t="shared" si="19"/>
        <v>#REF!</v>
      </c>
      <c r="M43" s="236" t="e">
        <f t="shared" si="19"/>
        <v>#REF!</v>
      </c>
      <c r="N43" s="236" t="e">
        <f t="shared" si="19"/>
        <v>#REF!</v>
      </c>
      <c r="O43" s="236" t="e">
        <f t="shared" si="19"/>
        <v>#REF!</v>
      </c>
      <c r="P43" s="236" t="e">
        <f t="shared" si="19"/>
        <v>#REF!</v>
      </c>
      <c r="Q43" s="236" t="e">
        <f t="shared" si="19"/>
        <v>#REF!</v>
      </c>
      <c r="R43" s="236" t="e">
        <f t="shared" si="19"/>
        <v>#REF!</v>
      </c>
      <c r="S43" s="236" t="e">
        <f t="shared" si="19"/>
        <v>#REF!</v>
      </c>
      <c r="T43" s="236" t="e">
        <f t="shared" si="19"/>
        <v>#REF!</v>
      </c>
      <c r="U43" s="236" t="e">
        <f t="shared" si="19"/>
        <v>#REF!</v>
      </c>
      <c r="V43" s="236" t="e">
        <f t="shared" si="19"/>
        <v>#REF!</v>
      </c>
      <c r="W43" s="236" t="e">
        <f t="shared" si="19"/>
        <v>#REF!</v>
      </c>
      <c r="X43" s="236" t="e">
        <f t="shared" si="19"/>
        <v>#REF!</v>
      </c>
      <c r="Y43" s="236" t="e">
        <f t="shared" si="19"/>
        <v>#REF!</v>
      </c>
      <c r="Z43" s="236" t="e">
        <f t="shared" si="19"/>
        <v>#REF!</v>
      </c>
      <c r="AA43" s="236" t="e">
        <f t="shared" si="19"/>
        <v>#REF!</v>
      </c>
      <c r="AB43" s="236" t="e">
        <f t="shared" si="19"/>
        <v>#REF!</v>
      </c>
      <c r="AC43" s="236" t="e">
        <f t="shared" si="19"/>
        <v>#REF!</v>
      </c>
      <c r="AD43" s="236" t="e">
        <f t="shared" si="19"/>
        <v>#REF!</v>
      </c>
      <c r="AE43" s="236" t="e">
        <f t="shared" si="19"/>
        <v>#REF!</v>
      </c>
      <c r="AF43" s="236" t="e">
        <f t="shared" si="19"/>
        <v>#REF!</v>
      </c>
      <c r="AG43" s="236" t="e">
        <f t="shared" si="19"/>
        <v>#REF!</v>
      </c>
      <c r="AH43" s="236" t="e">
        <f t="shared" si="19"/>
        <v>#REF!</v>
      </c>
      <c r="AI43" s="236">
        <f t="shared" si="19"/>
        <v>0</v>
      </c>
      <c r="AJ43" s="236">
        <f t="shared" si="19"/>
        <v>0</v>
      </c>
      <c r="AK43" s="236">
        <f t="shared" si="19"/>
        <v>0</v>
      </c>
      <c r="AL43" s="236">
        <f t="shared" si="19"/>
        <v>0</v>
      </c>
      <c r="AM43" s="236">
        <f t="shared" si="19"/>
        <v>0</v>
      </c>
    </row>
    <row r="44" hidden="true"/>
    <row r="45" hidden="true" spans="13:13">
      <c r="M45" s="266" t="e">
        <f>SUM(J42:AM43)+'总表 (2)'!D42</f>
        <v>#REF!</v>
      </c>
    </row>
    <row r="46" hidden="true"/>
    <row r="47" hidden="true" spans="13:13">
      <c r="M47" s="267" t="e">
        <f>D35*D37+E35*E37+F35*F37+G35*G37+H35*H37+I35*I37</f>
        <v>#REF!</v>
      </c>
    </row>
  </sheetData>
  <mergeCells count="5">
    <mergeCell ref="B1:AN1"/>
    <mergeCell ref="B2:AN2"/>
    <mergeCell ref="D4:I4"/>
    <mergeCell ref="J4:AM4"/>
    <mergeCell ref="AN4:AN5"/>
  </mergeCells>
  <printOptions horizontalCentered="true"/>
  <pageMargins left="0" right="0" top="0.91" bottom="0.31496062992126" header="0.61" footer="0.236220472440945"/>
  <pageSetup paperSize="9" scale="85" orientation="landscape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1"/>
  <sheetViews>
    <sheetView showZeros="0" workbookViewId="0">
      <selection activeCell="F6" sqref="F6"/>
    </sheetView>
  </sheetViews>
  <sheetFormatPr defaultColWidth="10" defaultRowHeight="11.25"/>
  <cols>
    <col min="1" max="1" width="2.875" style="200" customWidth="true"/>
    <col min="2" max="2" width="2.625" style="201" customWidth="true"/>
    <col min="3" max="3" width="14.125" style="200" customWidth="true"/>
    <col min="4" max="10" width="6.5" style="200" customWidth="true"/>
    <col min="11" max="11" width="6.5" style="202" customWidth="true"/>
    <col min="12" max="13" width="7.5" style="200" customWidth="true"/>
    <col min="14" max="14" width="7.5" style="202" customWidth="true"/>
    <col min="15" max="16" width="7.375" style="200" customWidth="true"/>
    <col min="17" max="18" width="7.5" style="200" customWidth="true"/>
    <col min="19" max="22" width="7.375" style="200" customWidth="true"/>
    <col min="23" max="23" width="7.875" style="200" customWidth="true"/>
    <col min="24" max="33" width="6.5" style="200" hidden="true" customWidth="true"/>
    <col min="34" max="34" width="7.875" style="200" customWidth="true"/>
    <col min="35" max="35" width="10" style="200" hidden="true" customWidth="true"/>
    <col min="36" max="16384" width="10" style="200"/>
  </cols>
  <sheetData>
    <row r="1" ht="28.5" customHeight="true" spans="2:34">
      <c r="B1" s="203" t="s">
        <v>685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ht="14.25" customHeight="true" spans="2:34">
      <c r="B2" s="204" t="s">
        <v>617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</row>
    <row r="3" ht="26.1" customHeight="true" spans="2:34">
      <c r="B3" s="125" t="s">
        <v>493</v>
      </c>
      <c r="C3" s="126" t="s">
        <v>618</v>
      </c>
      <c r="D3" s="41" t="s">
        <v>621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4"/>
      <c r="AH3" s="225" t="s">
        <v>305</v>
      </c>
    </row>
    <row r="4" ht="26.1" customHeight="true" spans="2:34">
      <c r="B4" s="127" t="s">
        <v>496</v>
      </c>
      <c r="C4" s="8" t="s">
        <v>475</v>
      </c>
      <c r="D4" s="145">
        <f>现金流量!J5</f>
        <v>3</v>
      </c>
      <c r="E4" s="145">
        <f t="shared" ref="E4:AG4" si="0">D4+1</f>
        <v>4</v>
      </c>
      <c r="F4" s="145">
        <f t="shared" si="0"/>
        <v>5</v>
      </c>
      <c r="G4" s="145">
        <f t="shared" si="0"/>
        <v>6</v>
      </c>
      <c r="H4" s="145">
        <f t="shared" si="0"/>
        <v>7</v>
      </c>
      <c r="I4" s="145">
        <f t="shared" si="0"/>
        <v>8</v>
      </c>
      <c r="J4" s="145">
        <f t="shared" si="0"/>
        <v>9</v>
      </c>
      <c r="K4" s="145">
        <f t="shared" si="0"/>
        <v>10</v>
      </c>
      <c r="L4" s="145">
        <f t="shared" si="0"/>
        <v>11</v>
      </c>
      <c r="M4" s="145">
        <f t="shared" si="0"/>
        <v>12</v>
      </c>
      <c r="N4" s="145">
        <f t="shared" si="0"/>
        <v>13</v>
      </c>
      <c r="O4" s="145">
        <f t="shared" si="0"/>
        <v>14</v>
      </c>
      <c r="P4" s="145">
        <f t="shared" si="0"/>
        <v>15</v>
      </c>
      <c r="Q4" s="145">
        <f t="shared" si="0"/>
        <v>16</v>
      </c>
      <c r="R4" s="145">
        <f t="shared" si="0"/>
        <v>17</v>
      </c>
      <c r="S4" s="145">
        <f t="shared" si="0"/>
        <v>18</v>
      </c>
      <c r="T4" s="145">
        <f t="shared" si="0"/>
        <v>19</v>
      </c>
      <c r="U4" s="145">
        <f t="shared" si="0"/>
        <v>20</v>
      </c>
      <c r="V4" s="145">
        <f t="shared" si="0"/>
        <v>21</v>
      </c>
      <c r="W4" s="145">
        <f t="shared" si="0"/>
        <v>22</v>
      </c>
      <c r="X4" s="145">
        <f t="shared" si="0"/>
        <v>23</v>
      </c>
      <c r="Y4" s="145">
        <f t="shared" si="0"/>
        <v>24</v>
      </c>
      <c r="Z4" s="145">
        <f t="shared" si="0"/>
        <v>25</v>
      </c>
      <c r="AA4" s="145">
        <f t="shared" si="0"/>
        <v>26</v>
      </c>
      <c r="AB4" s="145">
        <f t="shared" si="0"/>
        <v>27</v>
      </c>
      <c r="AC4" s="145">
        <f t="shared" si="0"/>
        <v>28</v>
      </c>
      <c r="AD4" s="145">
        <f t="shared" si="0"/>
        <v>29</v>
      </c>
      <c r="AE4" s="145">
        <f t="shared" si="0"/>
        <v>30</v>
      </c>
      <c r="AF4" s="145">
        <f t="shared" si="0"/>
        <v>31</v>
      </c>
      <c r="AG4" s="145">
        <f t="shared" si="0"/>
        <v>32</v>
      </c>
      <c r="AH4" s="225"/>
    </row>
    <row r="5" ht="26.1" customHeight="true" spans="2:34">
      <c r="B5" s="11"/>
      <c r="C5" s="11" t="s">
        <v>630</v>
      </c>
      <c r="D5" s="194">
        <f>现金流量!J6</f>
        <v>0.8</v>
      </c>
      <c r="E5" s="194">
        <f>现金流量!K6</f>
        <v>0.9</v>
      </c>
      <c r="F5" s="194">
        <f>现金流量!L6</f>
        <v>1</v>
      </c>
      <c r="G5" s="194">
        <f>现金流量!M6</f>
        <v>1</v>
      </c>
      <c r="H5" s="194">
        <f>现金流量!N6</f>
        <v>1</v>
      </c>
      <c r="I5" s="194">
        <f>现金流量!O6</f>
        <v>1</v>
      </c>
      <c r="J5" s="194">
        <f>现金流量!P6</f>
        <v>1</v>
      </c>
      <c r="K5" s="194">
        <f>现金流量!Q6</f>
        <v>1</v>
      </c>
      <c r="L5" s="194">
        <f>现金流量!R6</f>
        <v>1</v>
      </c>
      <c r="M5" s="194">
        <f>现金流量!S6</f>
        <v>1</v>
      </c>
      <c r="N5" s="194">
        <f>现金流量!T6</f>
        <v>1</v>
      </c>
      <c r="O5" s="194">
        <f>现金流量!U6</f>
        <v>1</v>
      </c>
      <c r="P5" s="194">
        <f>现金流量!V6</f>
        <v>1</v>
      </c>
      <c r="Q5" s="194">
        <f>现金流量!W6</f>
        <v>1</v>
      </c>
      <c r="R5" s="194">
        <f>现金流量!X6</f>
        <v>1</v>
      </c>
      <c r="S5" s="194">
        <f>现金流量!Y6</f>
        <v>1</v>
      </c>
      <c r="T5" s="194">
        <f>现金流量!Z6</f>
        <v>1</v>
      </c>
      <c r="U5" s="194">
        <f>现金流量!AA6</f>
        <v>1</v>
      </c>
      <c r="V5" s="194">
        <f>现金流量!AB6</f>
        <v>1</v>
      </c>
      <c r="W5" s="194">
        <f>现金流量!AC6</f>
        <v>1</v>
      </c>
      <c r="X5" s="194">
        <f>现金流量!AD6</f>
        <v>1</v>
      </c>
      <c r="Y5" s="194">
        <f>现金流量!AE6</f>
        <v>1</v>
      </c>
      <c r="Z5" s="194">
        <f>现金流量!AF6</f>
        <v>1</v>
      </c>
      <c r="AA5" s="194">
        <f>现金流量!AG6</f>
        <v>1</v>
      </c>
      <c r="AB5" s="194">
        <f>现金流量!AH6</f>
        <v>1</v>
      </c>
      <c r="AC5" s="194">
        <f>现金流量!AI6</f>
        <v>0</v>
      </c>
      <c r="AD5" s="194">
        <f>现金流量!AJ6</f>
        <v>0</v>
      </c>
      <c r="AE5" s="194">
        <f>现金流量!AK6</f>
        <v>0</v>
      </c>
      <c r="AF5" s="194">
        <f>现金流量!AL6</f>
        <v>0</v>
      </c>
      <c r="AG5" s="194">
        <f>现金流量!AM6</f>
        <v>0</v>
      </c>
      <c r="AH5" s="226"/>
    </row>
    <row r="6" ht="26.1" customHeight="true" spans="2:35">
      <c r="B6" s="11">
        <v>1</v>
      </c>
      <c r="C6" s="15" t="s">
        <v>686</v>
      </c>
      <c r="D6" s="205">
        <f>成本!$D$4*360*$E$23*D5</f>
        <v>7879.68</v>
      </c>
      <c r="E6" s="205">
        <f>成本!$D$4*360*$E$23*E5</f>
        <v>8864.64</v>
      </c>
      <c r="F6" s="205">
        <f>成本!$D$4*360*$E$23*F5</f>
        <v>9849.6</v>
      </c>
      <c r="G6" s="205">
        <f>成本!$D$4*360*$E$23*G5</f>
        <v>9849.6</v>
      </c>
      <c r="H6" s="205">
        <f>成本!$D$4*360*$E$23*H5</f>
        <v>9849.6</v>
      </c>
      <c r="I6" s="205">
        <f>成本!$D$4*360*$E$23*I5</f>
        <v>9849.6</v>
      </c>
      <c r="J6" s="205">
        <f>成本!$D$4*360*$E$23*J5</f>
        <v>9849.6</v>
      </c>
      <c r="K6" s="205">
        <f>成本!$D$4*360*$E$23*K5</f>
        <v>9849.6</v>
      </c>
      <c r="L6" s="205">
        <f>成本!$D$4*360*$E$23*L5</f>
        <v>9849.6</v>
      </c>
      <c r="M6" s="205">
        <f>成本!$D$4*360*$E$23*M5</f>
        <v>9849.6</v>
      </c>
      <c r="N6" s="205">
        <f>成本!$D$4*360*$E$23*N5</f>
        <v>9849.6</v>
      </c>
      <c r="O6" s="205">
        <f>成本!$D$4*360*$E$23*O5</f>
        <v>9849.6</v>
      </c>
      <c r="P6" s="205">
        <f>成本!$D$4*360*$E$23*P5</f>
        <v>9849.6</v>
      </c>
      <c r="Q6" s="205">
        <f>成本!$D$4*360*$E$23*Q5</f>
        <v>9849.6</v>
      </c>
      <c r="R6" s="205">
        <f>成本!$D$4*360*$E$23*R5</f>
        <v>9849.6</v>
      </c>
      <c r="S6" s="205">
        <f>成本!$D$4*360*$E$23*S5</f>
        <v>9849.6</v>
      </c>
      <c r="T6" s="205">
        <f>成本!$D$4*360*$E$23*T5</f>
        <v>9849.6</v>
      </c>
      <c r="U6" s="205">
        <f>成本!$D$4*360*$E$23*U5</f>
        <v>9849.6</v>
      </c>
      <c r="V6" s="205">
        <f>成本!$D$4*360*$E$23*V5</f>
        <v>9849.6</v>
      </c>
      <c r="W6" s="205">
        <f>成本!$D$4*360*$E$23*W5</f>
        <v>9849.6</v>
      </c>
      <c r="X6" s="205">
        <f>成本!$D$4*360*$E$23*X5</f>
        <v>9849.6</v>
      </c>
      <c r="Y6" s="205">
        <f>成本!$D$4*360*$E$23*Y5</f>
        <v>9849.6</v>
      </c>
      <c r="Z6" s="205">
        <f>成本!$D$4*360*$E$23*Z5</f>
        <v>9849.6</v>
      </c>
      <c r="AA6" s="205">
        <f>成本!$D$4*360*$E$23*AA5</f>
        <v>9849.6</v>
      </c>
      <c r="AB6" s="205">
        <f>成本!$D$4*360*$E$23*AB5</f>
        <v>9849.6</v>
      </c>
      <c r="AC6" s="205">
        <f>成本!$D$4*360*$E$23*AC5</f>
        <v>0</v>
      </c>
      <c r="AD6" s="205">
        <f>成本!$D$4*360*$E$23*AD5</f>
        <v>0</v>
      </c>
      <c r="AE6" s="205">
        <f>成本!$D$4*360*$E$23*AE5</f>
        <v>0</v>
      </c>
      <c r="AF6" s="205">
        <f>成本!$D$4*360*$E$23*AF5</f>
        <v>0</v>
      </c>
      <c r="AG6" s="205">
        <f>成本!$D$4*360*$E$23*AG5</f>
        <v>0</v>
      </c>
      <c r="AH6" s="205">
        <f t="shared" ref="AH6:AH18" si="1">SUM(D6:AG6)</f>
        <v>243285.12</v>
      </c>
      <c r="AI6" s="200">
        <f>AH6/'总表 (2)'!D43</f>
        <v>9731.4048</v>
      </c>
    </row>
    <row r="7" ht="26.1" customHeight="true" spans="2:34">
      <c r="B7" s="11">
        <v>2</v>
      </c>
      <c r="C7" s="15" t="s">
        <v>687</v>
      </c>
      <c r="D7" s="205">
        <f>年成本分析!D37</f>
        <v>906.51185840708</v>
      </c>
      <c r="E7" s="205">
        <f>年成本分析!E37</f>
        <v>1019.82584070796</v>
      </c>
      <c r="F7" s="205">
        <f>年成本分析!F37</f>
        <v>1133.13982300885</v>
      </c>
      <c r="G7" s="205">
        <f>年成本分析!G37</f>
        <v>1133.13982300885</v>
      </c>
      <c r="H7" s="205">
        <f>年成本分析!H37</f>
        <v>1133.13982300885</v>
      </c>
      <c r="I7" s="205">
        <f>年成本分析!I37</f>
        <v>1133.13982300885</v>
      </c>
      <c r="J7" s="205">
        <f>年成本分析!J37</f>
        <v>1133.13982300885</v>
      </c>
      <c r="K7" s="205">
        <f>年成本分析!K37</f>
        <v>1133.13982300885</v>
      </c>
      <c r="L7" s="205">
        <f>年成本分析!L37</f>
        <v>1133.13982300885</v>
      </c>
      <c r="M7" s="205">
        <f>年成本分析!M37</f>
        <v>1133.13982300885</v>
      </c>
      <c r="N7" s="205">
        <f>年成本分析!N37</f>
        <v>1133.13982300885</v>
      </c>
      <c r="O7" s="205">
        <f>年成本分析!O37</f>
        <v>1133.13982300885</v>
      </c>
      <c r="P7" s="205">
        <f>年成本分析!P37</f>
        <v>1133.13982300885</v>
      </c>
      <c r="Q7" s="205">
        <f>年成本分析!Q37</f>
        <v>1133.13982300885</v>
      </c>
      <c r="R7" s="205">
        <f>年成本分析!R37</f>
        <v>1133.13982300885</v>
      </c>
      <c r="S7" s="205">
        <f>年成本分析!S37</f>
        <v>1133.13982300885</v>
      </c>
      <c r="T7" s="205">
        <f>年成本分析!T37</f>
        <v>1133.13982300885</v>
      </c>
      <c r="U7" s="205">
        <f>年成本分析!U37</f>
        <v>1133.13982300885</v>
      </c>
      <c r="V7" s="205">
        <f>年成本分析!V37</f>
        <v>1133.13982300885</v>
      </c>
      <c r="W7" s="205">
        <f>年成本分析!W37</f>
        <v>1133.13982300885</v>
      </c>
      <c r="X7" s="205" t="e">
        <f>年成本分析!X20</f>
        <v>#REF!</v>
      </c>
      <c r="Y7" s="205" t="e">
        <f>年成本分析!Y20</f>
        <v>#REF!</v>
      </c>
      <c r="Z7" s="205" t="e">
        <f>年成本分析!Z20</f>
        <v>#REF!</v>
      </c>
      <c r="AA7" s="205" t="e">
        <f>年成本分析!AA20</f>
        <v>#REF!</v>
      </c>
      <c r="AB7" s="205" t="e">
        <f>年成本分析!AB20</f>
        <v>#REF!</v>
      </c>
      <c r="AC7" s="205">
        <f>年成本分析!AC20</f>
        <v>0</v>
      </c>
      <c r="AD7" s="205">
        <f>年成本分析!AD20</f>
        <v>0</v>
      </c>
      <c r="AE7" s="205">
        <f>年成本分析!AE20</f>
        <v>0</v>
      </c>
      <c r="AF7" s="205">
        <f>年成本分析!AF20</f>
        <v>0</v>
      </c>
      <c r="AG7" s="205">
        <f>年成本分析!AG20</f>
        <v>0</v>
      </c>
      <c r="AH7" s="205" t="e">
        <f t="shared" si="1"/>
        <v>#REF!</v>
      </c>
    </row>
    <row r="8" ht="26.1" customHeight="true" spans="2:34">
      <c r="B8" s="11">
        <v>3</v>
      </c>
      <c r="C8" s="15" t="s">
        <v>688</v>
      </c>
      <c r="D8" s="205" t="e">
        <f>年成本分析!D36</f>
        <v>#REF!</v>
      </c>
      <c r="E8" s="205" t="e">
        <f>年成本分析!E36</f>
        <v>#REF!</v>
      </c>
      <c r="F8" s="205" t="e">
        <f>年成本分析!F36</f>
        <v>#REF!</v>
      </c>
      <c r="G8" s="205" t="e">
        <f>年成本分析!G36</f>
        <v>#REF!</v>
      </c>
      <c r="H8" s="205" t="e">
        <f>年成本分析!H36</f>
        <v>#REF!</v>
      </c>
      <c r="I8" s="205" t="e">
        <f>年成本分析!I36</f>
        <v>#REF!</v>
      </c>
      <c r="J8" s="205" t="e">
        <f>年成本分析!J36</f>
        <v>#REF!</v>
      </c>
      <c r="K8" s="205" t="e">
        <f>年成本分析!K36</f>
        <v>#REF!</v>
      </c>
      <c r="L8" s="205" t="e">
        <f>年成本分析!L36</f>
        <v>#REF!</v>
      </c>
      <c r="M8" s="205" t="e">
        <f>年成本分析!M36</f>
        <v>#REF!</v>
      </c>
      <c r="N8" s="205" t="e">
        <f>年成本分析!N36</f>
        <v>#REF!</v>
      </c>
      <c r="O8" s="205" t="e">
        <f>年成本分析!O36</f>
        <v>#REF!</v>
      </c>
      <c r="P8" s="205" t="e">
        <f>年成本分析!P36</f>
        <v>#REF!</v>
      </c>
      <c r="Q8" s="205" t="e">
        <f>年成本分析!Q36</f>
        <v>#REF!</v>
      </c>
      <c r="R8" s="205" t="e">
        <f>年成本分析!R36</f>
        <v>#REF!</v>
      </c>
      <c r="S8" s="205" t="e">
        <f>年成本分析!S36</f>
        <v>#REF!</v>
      </c>
      <c r="T8" s="205" t="e">
        <f>年成本分析!T36</f>
        <v>#REF!</v>
      </c>
      <c r="U8" s="205" t="e">
        <f>年成本分析!U36</f>
        <v>#REF!</v>
      </c>
      <c r="V8" s="205" t="e">
        <f>年成本分析!V36</f>
        <v>#REF!</v>
      </c>
      <c r="W8" s="205" t="e">
        <f>年成本分析!W36</f>
        <v>#REF!</v>
      </c>
      <c r="X8" s="205" t="e">
        <f>年成本分析!X36</f>
        <v>#REF!</v>
      </c>
      <c r="Y8" s="205" t="e">
        <f>年成本分析!Y36</f>
        <v>#REF!</v>
      </c>
      <c r="Z8" s="205" t="e">
        <f>年成本分析!Z36</f>
        <v>#REF!</v>
      </c>
      <c r="AA8" s="205" t="e">
        <f>年成本分析!AA36</f>
        <v>#REF!</v>
      </c>
      <c r="AB8" s="205" t="e">
        <f>年成本分析!AB36</f>
        <v>#REF!</v>
      </c>
      <c r="AC8" s="205">
        <f>年成本分析!AC36</f>
        <v>0</v>
      </c>
      <c r="AD8" s="205">
        <f>年成本分析!AD36</f>
        <v>0</v>
      </c>
      <c r="AE8" s="205">
        <f>年成本分析!AE36</f>
        <v>0</v>
      </c>
      <c r="AF8" s="205">
        <f>年成本分析!AF36</f>
        <v>0</v>
      </c>
      <c r="AG8" s="205">
        <f>年成本分析!AG36</f>
        <v>0</v>
      </c>
      <c r="AH8" s="205" t="e">
        <f t="shared" si="1"/>
        <v>#REF!</v>
      </c>
    </row>
    <row r="9" ht="26.1" customHeight="true" spans="2:34">
      <c r="B9" s="11">
        <v>4</v>
      </c>
      <c r="C9" s="15" t="s">
        <v>689</v>
      </c>
      <c r="D9" s="205" t="e">
        <f t="shared" ref="D9:AG9" si="2">D7-D8</f>
        <v>#REF!</v>
      </c>
      <c r="E9" s="205" t="e">
        <f t="shared" si="2"/>
        <v>#REF!</v>
      </c>
      <c r="F9" s="205" t="e">
        <f t="shared" si="2"/>
        <v>#REF!</v>
      </c>
      <c r="G9" s="205" t="e">
        <f t="shared" si="2"/>
        <v>#REF!</v>
      </c>
      <c r="H9" s="205" t="e">
        <f t="shared" si="2"/>
        <v>#REF!</v>
      </c>
      <c r="I9" s="205" t="e">
        <f t="shared" si="2"/>
        <v>#REF!</v>
      </c>
      <c r="J9" s="205" t="e">
        <f t="shared" si="2"/>
        <v>#REF!</v>
      </c>
      <c r="K9" s="205" t="e">
        <f t="shared" si="2"/>
        <v>#REF!</v>
      </c>
      <c r="L9" s="205" t="e">
        <f t="shared" si="2"/>
        <v>#REF!</v>
      </c>
      <c r="M9" s="205" t="e">
        <f t="shared" si="2"/>
        <v>#REF!</v>
      </c>
      <c r="N9" s="205" t="e">
        <f t="shared" si="2"/>
        <v>#REF!</v>
      </c>
      <c r="O9" s="205" t="e">
        <f t="shared" si="2"/>
        <v>#REF!</v>
      </c>
      <c r="P9" s="205" t="e">
        <f t="shared" si="2"/>
        <v>#REF!</v>
      </c>
      <c r="Q9" s="205" t="e">
        <f t="shared" si="2"/>
        <v>#REF!</v>
      </c>
      <c r="R9" s="205" t="e">
        <f t="shared" si="2"/>
        <v>#REF!</v>
      </c>
      <c r="S9" s="205" t="e">
        <f t="shared" si="2"/>
        <v>#REF!</v>
      </c>
      <c r="T9" s="205" t="e">
        <f t="shared" si="2"/>
        <v>#REF!</v>
      </c>
      <c r="U9" s="205" t="e">
        <f t="shared" si="2"/>
        <v>#REF!</v>
      </c>
      <c r="V9" s="205" t="e">
        <f t="shared" si="2"/>
        <v>#REF!</v>
      </c>
      <c r="W9" s="205" t="e">
        <f t="shared" si="2"/>
        <v>#REF!</v>
      </c>
      <c r="X9" s="205" t="e">
        <f t="shared" si="2"/>
        <v>#REF!</v>
      </c>
      <c r="Y9" s="205" t="e">
        <f t="shared" si="2"/>
        <v>#REF!</v>
      </c>
      <c r="Z9" s="205" t="e">
        <f t="shared" si="2"/>
        <v>#REF!</v>
      </c>
      <c r="AA9" s="205" t="e">
        <f t="shared" si="2"/>
        <v>#REF!</v>
      </c>
      <c r="AB9" s="205" t="e">
        <f t="shared" si="2"/>
        <v>#REF!</v>
      </c>
      <c r="AC9" s="205">
        <f t="shared" si="2"/>
        <v>0</v>
      </c>
      <c r="AD9" s="205">
        <f t="shared" si="2"/>
        <v>0</v>
      </c>
      <c r="AE9" s="205">
        <f t="shared" si="2"/>
        <v>0</v>
      </c>
      <c r="AF9" s="205">
        <f t="shared" si="2"/>
        <v>0</v>
      </c>
      <c r="AG9" s="205">
        <f t="shared" si="2"/>
        <v>0</v>
      </c>
      <c r="AH9" s="205" t="e">
        <f t="shared" si="1"/>
        <v>#REF!</v>
      </c>
    </row>
    <row r="10" ht="26.1" customHeight="true" spans="2:34">
      <c r="B10" s="11">
        <v>5</v>
      </c>
      <c r="C10" s="15" t="s">
        <v>690</v>
      </c>
      <c r="D10" s="205" t="e">
        <f t="shared" ref="D10:AG10" si="3">D9*12%</f>
        <v>#REF!</v>
      </c>
      <c r="E10" s="205" t="e">
        <f t="shared" si="3"/>
        <v>#REF!</v>
      </c>
      <c r="F10" s="205" t="e">
        <f t="shared" si="3"/>
        <v>#REF!</v>
      </c>
      <c r="G10" s="205" t="e">
        <f t="shared" si="3"/>
        <v>#REF!</v>
      </c>
      <c r="H10" s="205" t="e">
        <f t="shared" si="3"/>
        <v>#REF!</v>
      </c>
      <c r="I10" s="205" t="e">
        <f t="shared" si="3"/>
        <v>#REF!</v>
      </c>
      <c r="J10" s="205" t="e">
        <f t="shared" si="3"/>
        <v>#REF!</v>
      </c>
      <c r="K10" s="205" t="e">
        <f t="shared" si="3"/>
        <v>#REF!</v>
      </c>
      <c r="L10" s="205" t="e">
        <f t="shared" si="3"/>
        <v>#REF!</v>
      </c>
      <c r="M10" s="205" t="e">
        <f t="shared" si="3"/>
        <v>#REF!</v>
      </c>
      <c r="N10" s="205" t="e">
        <f t="shared" si="3"/>
        <v>#REF!</v>
      </c>
      <c r="O10" s="205" t="e">
        <f t="shared" si="3"/>
        <v>#REF!</v>
      </c>
      <c r="P10" s="205" t="e">
        <f t="shared" si="3"/>
        <v>#REF!</v>
      </c>
      <c r="Q10" s="205" t="e">
        <f t="shared" si="3"/>
        <v>#REF!</v>
      </c>
      <c r="R10" s="205" t="e">
        <f t="shared" si="3"/>
        <v>#REF!</v>
      </c>
      <c r="S10" s="205" t="e">
        <f t="shared" si="3"/>
        <v>#REF!</v>
      </c>
      <c r="T10" s="205" t="e">
        <f t="shared" si="3"/>
        <v>#REF!</v>
      </c>
      <c r="U10" s="205" t="e">
        <f t="shared" si="3"/>
        <v>#REF!</v>
      </c>
      <c r="V10" s="205" t="e">
        <f t="shared" si="3"/>
        <v>#REF!</v>
      </c>
      <c r="W10" s="205" t="e">
        <f t="shared" si="3"/>
        <v>#REF!</v>
      </c>
      <c r="X10" s="205" t="e">
        <f t="shared" si="3"/>
        <v>#REF!</v>
      </c>
      <c r="Y10" s="205" t="e">
        <f t="shared" si="3"/>
        <v>#REF!</v>
      </c>
      <c r="Z10" s="205" t="e">
        <f t="shared" si="3"/>
        <v>#REF!</v>
      </c>
      <c r="AA10" s="205" t="e">
        <f t="shared" si="3"/>
        <v>#REF!</v>
      </c>
      <c r="AB10" s="205" t="e">
        <f t="shared" si="3"/>
        <v>#REF!</v>
      </c>
      <c r="AC10" s="205">
        <f t="shared" si="3"/>
        <v>0</v>
      </c>
      <c r="AD10" s="205">
        <f t="shared" si="3"/>
        <v>0</v>
      </c>
      <c r="AE10" s="205">
        <f t="shared" si="3"/>
        <v>0</v>
      </c>
      <c r="AF10" s="205">
        <f t="shared" si="3"/>
        <v>0</v>
      </c>
      <c r="AG10" s="205">
        <f t="shared" si="3"/>
        <v>0</v>
      </c>
      <c r="AH10" s="205" t="e">
        <f t="shared" si="1"/>
        <v>#REF!</v>
      </c>
    </row>
    <row r="11" ht="26.1" customHeight="true" spans="1:34">
      <c r="A11" s="134"/>
      <c r="B11" s="11">
        <v>6</v>
      </c>
      <c r="C11" s="15" t="s">
        <v>691</v>
      </c>
      <c r="D11" s="206" t="e">
        <f t="shared" ref="D11:AG11" si="4">D9*0.7</f>
        <v>#REF!</v>
      </c>
      <c r="E11" s="206" t="e">
        <f t="shared" si="4"/>
        <v>#REF!</v>
      </c>
      <c r="F11" s="206" t="e">
        <f t="shared" si="4"/>
        <v>#REF!</v>
      </c>
      <c r="G11" s="206" t="e">
        <f t="shared" si="4"/>
        <v>#REF!</v>
      </c>
      <c r="H11" s="206" t="e">
        <f t="shared" si="4"/>
        <v>#REF!</v>
      </c>
      <c r="I11" s="206" t="e">
        <f t="shared" si="4"/>
        <v>#REF!</v>
      </c>
      <c r="J11" s="206" t="e">
        <f t="shared" si="4"/>
        <v>#REF!</v>
      </c>
      <c r="K11" s="206" t="e">
        <f t="shared" si="4"/>
        <v>#REF!</v>
      </c>
      <c r="L11" s="206" t="e">
        <f t="shared" si="4"/>
        <v>#REF!</v>
      </c>
      <c r="M11" s="206" t="e">
        <f t="shared" si="4"/>
        <v>#REF!</v>
      </c>
      <c r="N11" s="206" t="e">
        <f t="shared" si="4"/>
        <v>#REF!</v>
      </c>
      <c r="O11" s="206" t="e">
        <f t="shared" si="4"/>
        <v>#REF!</v>
      </c>
      <c r="P11" s="206" t="e">
        <f t="shared" si="4"/>
        <v>#REF!</v>
      </c>
      <c r="Q11" s="206" t="e">
        <f t="shared" si="4"/>
        <v>#REF!</v>
      </c>
      <c r="R11" s="206" t="e">
        <f t="shared" si="4"/>
        <v>#REF!</v>
      </c>
      <c r="S11" s="206" t="e">
        <f t="shared" si="4"/>
        <v>#REF!</v>
      </c>
      <c r="T11" s="206" t="e">
        <f t="shared" si="4"/>
        <v>#REF!</v>
      </c>
      <c r="U11" s="206" t="e">
        <f t="shared" si="4"/>
        <v>#REF!</v>
      </c>
      <c r="V11" s="206" t="e">
        <f t="shared" si="4"/>
        <v>#REF!</v>
      </c>
      <c r="W11" s="206" t="e">
        <f t="shared" si="4"/>
        <v>#REF!</v>
      </c>
      <c r="X11" s="206" t="e">
        <f t="shared" si="4"/>
        <v>#REF!</v>
      </c>
      <c r="Y11" s="206" t="e">
        <f t="shared" si="4"/>
        <v>#REF!</v>
      </c>
      <c r="Z11" s="206" t="e">
        <f t="shared" si="4"/>
        <v>#REF!</v>
      </c>
      <c r="AA11" s="206" t="e">
        <f t="shared" si="4"/>
        <v>#REF!</v>
      </c>
      <c r="AB11" s="206" t="e">
        <f t="shared" si="4"/>
        <v>#REF!</v>
      </c>
      <c r="AC11" s="206">
        <f t="shared" si="4"/>
        <v>0</v>
      </c>
      <c r="AD11" s="206">
        <f t="shared" si="4"/>
        <v>0</v>
      </c>
      <c r="AE11" s="206">
        <f t="shared" si="4"/>
        <v>0</v>
      </c>
      <c r="AF11" s="206">
        <f t="shared" si="4"/>
        <v>0</v>
      </c>
      <c r="AG11" s="206">
        <f t="shared" si="4"/>
        <v>0</v>
      </c>
      <c r="AH11" s="205" t="e">
        <f t="shared" si="1"/>
        <v>#REF!</v>
      </c>
    </row>
    <row r="12" ht="26.1" customHeight="true" spans="1:34">
      <c r="A12" s="134"/>
      <c r="B12" s="11">
        <v>7</v>
      </c>
      <c r="C12" s="15" t="s">
        <v>692</v>
      </c>
      <c r="D12" s="206" t="e">
        <f t="shared" ref="D12:AG12" si="5">D9+D10-D11</f>
        <v>#REF!</v>
      </c>
      <c r="E12" s="206" t="e">
        <f t="shared" si="5"/>
        <v>#REF!</v>
      </c>
      <c r="F12" s="206" t="e">
        <f t="shared" si="5"/>
        <v>#REF!</v>
      </c>
      <c r="G12" s="206" t="e">
        <f t="shared" si="5"/>
        <v>#REF!</v>
      </c>
      <c r="H12" s="206" t="e">
        <f t="shared" si="5"/>
        <v>#REF!</v>
      </c>
      <c r="I12" s="206" t="e">
        <f t="shared" si="5"/>
        <v>#REF!</v>
      </c>
      <c r="J12" s="206" t="e">
        <f t="shared" si="5"/>
        <v>#REF!</v>
      </c>
      <c r="K12" s="206" t="e">
        <f t="shared" si="5"/>
        <v>#REF!</v>
      </c>
      <c r="L12" s="206" t="e">
        <f t="shared" si="5"/>
        <v>#REF!</v>
      </c>
      <c r="M12" s="206" t="e">
        <f t="shared" si="5"/>
        <v>#REF!</v>
      </c>
      <c r="N12" s="206" t="e">
        <f t="shared" si="5"/>
        <v>#REF!</v>
      </c>
      <c r="O12" s="206" t="e">
        <f t="shared" si="5"/>
        <v>#REF!</v>
      </c>
      <c r="P12" s="206" t="e">
        <f t="shared" si="5"/>
        <v>#REF!</v>
      </c>
      <c r="Q12" s="206" t="e">
        <f t="shared" si="5"/>
        <v>#REF!</v>
      </c>
      <c r="R12" s="206" t="e">
        <f t="shared" si="5"/>
        <v>#REF!</v>
      </c>
      <c r="S12" s="206" t="e">
        <f t="shared" si="5"/>
        <v>#REF!</v>
      </c>
      <c r="T12" s="206" t="e">
        <f t="shared" si="5"/>
        <v>#REF!</v>
      </c>
      <c r="U12" s="206" t="e">
        <f t="shared" si="5"/>
        <v>#REF!</v>
      </c>
      <c r="V12" s="206" t="e">
        <f t="shared" si="5"/>
        <v>#REF!</v>
      </c>
      <c r="W12" s="206" t="e">
        <f t="shared" si="5"/>
        <v>#REF!</v>
      </c>
      <c r="X12" s="206" t="e">
        <f t="shared" si="5"/>
        <v>#REF!</v>
      </c>
      <c r="Y12" s="206" t="e">
        <f t="shared" si="5"/>
        <v>#REF!</v>
      </c>
      <c r="Z12" s="206" t="e">
        <f t="shared" si="5"/>
        <v>#REF!</v>
      </c>
      <c r="AA12" s="206" t="e">
        <f t="shared" si="5"/>
        <v>#REF!</v>
      </c>
      <c r="AB12" s="206" t="e">
        <f t="shared" si="5"/>
        <v>#REF!</v>
      </c>
      <c r="AC12" s="206">
        <f t="shared" si="5"/>
        <v>0</v>
      </c>
      <c r="AD12" s="206">
        <f t="shared" si="5"/>
        <v>0</v>
      </c>
      <c r="AE12" s="206">
        <f t="shared" si="5"/>
        <v>0</v>
      </c>
      <c r="AF12" s="206">
        <f t="shared" si="5"/>
        <v>0</v>
      </c>
      <c r="AG12" s="206">
        <f t="shared" si="5"/>
        <v>0</v>
      </c>
      <c r="AH12" s="205" t="e">
        <f t="shared" si="1"/>
        <v>#REF!</v>
      </c>
    </row>
    <row r="13" ht="26.1" customHeight="true" spans="2:34">
      <c r="B13" s="11"/>
      <c r="C13" s="1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 t="e">
        <f>IF(X12&lt;0,0,X12*'总表 (2)'!X53)</f>
        <v>#REF!</v>
      </c>
      <c r="Y13" s="205" t="e">
        <f>IF(Y12&lt;0,0,Y12*'总表 (2)'!Y53)</f>
        <v>#REF!</v>
      </c>
      <c r="Z13" s="205" t="e">
        <f>IF(Z12&lt;0,0,Z12*'总表 (2)'!Z53)</f>
        <v>#REF!</v>
      </c>
      <c r="AA13" s="205" t="e">
        <f>IF(AA12&lt;0,0,AA12*'总表 (2)'!AA53)</f>
        <v>#REF!</v>
      </c>
      <c r="AB13" s="205" t="e">
        <f>IF(AB12&lt;0,0,AB12*'总表 (2)'!AB53)</f>
        <v>#REF!</v>
      </c>
      <c r="AC13" s="205">
        <f>IF(AC12&lt;0,0,AC12*'总表 (2)'!AC53)</f>
        <v>0</v>
      </c>
      <c r="AD13" s="205">
        <f>IF(AD12&lt;0,0,AD12*'总表 (2)'!AD53)</f>
        <v>0</v>
      </c>
      <c r="AE13" s="205">
        <f>IF(AE12&lt;0,0,AE12*'总表 (2)'!AE53)</f>
        <v>0</v>
      </c>
      <c r="AF13" s="205">
        <f>IF(AF12&lt;0,0,AF12*'总表 (2)'!AF53)</f>
        <v>0</v>
      </c>
      <c r="AG13" s="205">
        <f>IF(AG12&lt;0,0,AG12*'总表 (2)'!AG53)</f>
        <v>0</v>
      </c>
      <c r="AH13" s="205" t="e">
        <f t="shared" si="1"/>
        <v>#REF!</v>
      </c>
    </row>
    <row r="14" ht="26.1" customHeight="true" spans="2:34">
      <c r="B14" s="11"/>
      <c r="C14" s="191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 t="e">
        <f t="shared" ref="X14:AG14" si="6">X8-X13</f>
        <v>#REF!</v>
      </c>
      <c r="Y14" s="205" t="e">
        <f t="shared" si="6"/>
        <v>#REF!</v>
      </c>
      <c r="Z14" s="205" t="e">
        <f t="shared" si="6"/>
        <v>#REF!</v>
      </c>
      <c r="AA14" s="205" t="e">
        <f t="shared" si="6"/>
        <v>#REF!</v>
      </c>
      <c r="AB14" s="205" t="e">
        <f t="shared" si="6"/>
        <v>#REF!</v>
      </c>
      <c r="AC14" s="205">
        <f t="shared" si="6"/>
        <v>0</v>
      </c>
      <c r="AD14" s="205">
        <f t="shared" si="6"/>
        <v>0</v>
      </c>
      <c r="AE14" s="205">
        <f t="shared" si="6"/>
        <v>0</v>
      </c>
      <c r="AF14" s="205">
        <f t="shared" si="6"/>
        <v>0</v>
      </c>
      <c r="AG14" s="205">
        <f t="shared" si="6"/>
        <v>0</v>
      </c>
      <c r="AH14" s="205" t="e">
        <f t="shared" si="1"/>
        <v>#REF!</v>
      </c>
    </row>
    <row r="15" ht="26.1" customHeight="true" spans="2:34">
      <c r="B15" s="11"/>
      <c r="C15" s="1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 t="e">
        <f>IF(借款偿还!AE6&gt;0,0,X14*10%)</f>
        <v>#REF!</v>
      </c>
      <c r="Y15" s="205" t="e">
        <f>IF(借款偿还!AF6&gt;0,0,Y14*10%)</f>
        <v>#REF!</v>
      </c>
      <c r="Z15" s="205" t="e">
        <f>IF(借款偿还!AG6&gt;0,0,Z14*10%)</f>
        <v>#REF!</v>
      </c>
      <c r="AA15" s="205" t="e">
        <f>IF(借款偿还!AH6&gt;0,0,AA14*10%)</f>
        <v>#REF!</v>
      </c>
      <c r="AB15" s="205" t="e">
        <f>IF(借款偿还!AI6&gt;0,0,AB14*10%)</f>
        <v>#REF!</v>
      </c>
      <c r="AC15" s="205" t="e">
        <f>IF(借款偿还!AJ6&gt;0,0,AC14*10%)</f>
        <v>#REF!</v>
      </c>
      <c r="AD15" s="205" t="e">
        <f>IF(借款偿还!AK6&gt;0,0,AD14*10%)</f>
        <v>#REF!</v>
      </c>
      <c r="AE15" s="205" t="e">
        <f>IF(借款偿还!AL6&gt;0,0,AE14*10%)</f>
        <v>#REF!</v>
      </c>
      <c r="AF15" s="205" t="e">
        <f>IF(借款偿还!AM6&gt;0,0,AF14*10%)</f>
        <v>#REF!</v>
      </c>
      <c r="AG15" s="205" t="e">
        <f>IF(借款偿还!AN6&gt;0,0,AG14*10%)</f>
        <v>#REF!</v>
      </c>
      <c r="AH15" s="205" t="e">
        <f t="shared" si="1"/>
        <v>#REF!</v>
      </c>
    </row>
    <row r="16" ht="26.1" hidden="true" customHeight="true" spans="2:34">
      <c r="B16" s="11"/>
      <c r="C16" s="1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 t="e">
        <f>IF(借款偿还!AE6&gt;0,0,X14*5%)</f>
        <v>#REF!</v>
      </c>
      <c r="Y16" s="205" t="e">
        <f>IF(借款偿还!AF6&gt;0,0,Y14*5%)</f>
        <v>#REF!</v>
      </c>
      <c r="Z16" s="205" t="e">
        <f>IF(借款偿还!AG6&gt;0,0,Z14*5%)</f>
        <v>#REF!</v>
      </c>
      <c r="AA16" s="205" t="e">
        <f>IF(借款偿还!AH6&gt;0,0,AA14*5%)</f>
        <v>#REF!</v>
      </c>
      <c r="AB16" s="205" t="e">
        <f>IF(借款偿还!AI6&gt;0,0,AB14*5%)</f>
        <v>#REF!</v>
      </c>
      <c r="AC16" s="205" t="e">
        <f>IF(借款偿还!AJ6&gt;0,0,AC14*5%)</f>
        <v>#REF!</v>
      </c>
      <c r="AD16" s="205" t="e">
        <f>IF(借款偿还!AK6&gt;0,0,AD14*5%)</f>
        <v>#REF!</v>
      </c>
      <c r="AE16" s="205" t="e">
        <f>IF(借款偿还!AL6&gt;0,0,AE14*5%)</f>
        <v>#REF!</v>
      </c>
      <c r="AF16" s="205" t="e">
        <f>IF(借款偿还!AM6&gt;0,0,AF14*5%)</f>
        <v>#REF!</v>
      </c>
      <c r="AG16" s="205" t="e">
        <f>IF(借款偿还!AN6&gt;0,0,AG14*5%)</f>
        <v>#REF!</v>
      </c>
      <c r="AH16" s="205" t="e">
        <f t="shared" si="1"/>
        <v>#REF!</v>
      </c>
    </row>
    <row r="17" ht="26.1" customHeight="true" spans="2:34">
      <c r="B17" s="11"/>
      <c r="C17" s="1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 t="e">
        <f>借款偿还!AE33</f>
        <v>#REF!</v>
      </c>
      <c r="Y17" s="205" t="e">
        <f>借款偿还!AF33</f>
        <v>#REF!</v>
      </c>
      <c r="Z17" s="205" t="e">
        <f>借款偿还!AG33</f>
        <v>#REF!</v>
      </c>
      <c r="AA17" s="205" t="e">
        <f>借款偿还!AH33</f>
        <v>#REF!</v>
      </c>
      <c r="AB17" s="205" t="e">
        <f>借款偿还!AI33</f>
        <v>#REF!</v>
      </c>
      <c r="AC17" s="205" t="e">
        <f>借款偿还!AJ33</f>
        <v>#REF!</v>
      </c>
      <c r="AD17" s="205" t="e">
        <f>借款偿还!AK33</f>
        <v>#REF!</v>
      </c>
      <c r="AE17" s="205" t="e">
        <f>借款偿还!AL33</f>
        <v>#REF!</v>
      </c>
      <c r="AF17" s="205" t="e">
        <f>借款偿还!AM33</f>
        <v>#REF!</v>
      </c>
      <c r="AG17" s="205" t="e">
        <f>借款偿还!AN33</f>
        <v>#REF!</v>
      </c>
      <c r="AH17" s="205" t="e">
        <f t="shared" si="1"/>
        <v>#REF!</v>
      </c>
    </row>
    <row r="18" ht="26.1" customHeight="true" spans="2:34">
      <c r="B18" s="11"/>
      <c r="C18" s="1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 t="e">
        <f t="shared" ref="X18:AG18" si="7">ROUND(X14-X15-X16-X17,2)</f>
        <v>#REF!</v>
      </c>
      <c r="Y18" s="205" t="e">
        <f t="shared" si="7"/>
        <v>#REF!</v>
      </c>
      <c r="Z18" s="205" t="e">
        <f t="shared" si="7"/>
        <v>#REF!</v>
      </c>
      <c r="AA18" s="205" t="e">
        <f t="shared" si="7"/>
        <v>#REF!</v>
      </c>
      <c r="AB18" s="205" t="e">
        <f t="shared" si="7"/>
        <v>#REF!</v>
      </c>
      <c r="AC18" s="205" t="e">
        <f t="shared" si="7"/>
        <v>#REF!</v>
      </c>
      <c r="AD18" s="205" t="e">
        <f t="shared" si="7"/>
        <v>#REF!</v>
      </c>
      <c r="AE18" s="205" t="e">
        <f t="shared" si="7"/>
        <v>#REF!</v>
      </c>
      <c r="AF18" s="205" t="e">
        <f t="shared" si="7"/>
        <v>#REF!</v>
      </c>
      <c r="AG18" s="205" t="e">
        <f t="shared" si="7"/>
        <v>#REF!</v>
      </c>
      <c r="AH18" s="205" t="e">
        <f t="shared" si="1"/>
        <v>#REF!</v>
      </c>
    </row>
    <row r="19" ht="26.1" customHeight="true" spans="2:34">
      <c r="B19" s="11"/>
      <c r="C19" s="1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 t="e">
        <f t="shared" ref="X19:AG19" si="8">IF(X4&gt;zq,0,W19+X18)</f>
        <v>#REF!</v>
      </c>
      <c r="Y19" s="205" t="e">
        <f t="shared" si="8"/>
        <v>#REF!</v>
      </c>
      <c r="Z19" s="205" t="e">
        <f t="shared" si="8"/>
        <v>#REF!</v>
      </c>
      <c r="AA19" s="205" t="e">
        <f t="shared" si="8"/>
        <v>#REF!</v>
      </c>
      <c r="AB19" s="205" t="e">
        <f t="shared" si="8"/>
        <v>#REF!</v>
      </c>
      <c r="AC19" s="205">
        <f t="shared" si="8"/>
        <v>0</v>
      </c>
      <c r="AD19" s="205">
        <f t="shared" si="8"/>
        <v>0</v>
      </c>
      <c r="AE19" s="205">
        <f t="shared" si="8"/>
        <v>0</v>
      </c>
      <c r="AF19" s="205">
        <f t="shared" si="8"/>
        <v>0</v>
      </c>
      <c r="AG19" s="205">
        <f t="shared" si="8"/>
        <v>0</v>
      </c>
      <c r="AH19" s="205"/>
    </row>
    <row r="20" s="1" customFormat="true" ht="14.25" hidden="true" spans="2:34">
      <c r="B20" s="207"/>
      <c r="C20" s="208" t="s">
        <v>693</v>
      </c>
      <c r="D20" s="209" t="e">
        <f>(AH8/20)/(#REF!+成本!G61)</f>
        <v>#REF!</v>
      </c>
      <c r="E20" s="209"/>
      <c r="H20" s="208" t="s">
        <v>694</v>
      </c>
      <c r="I20" s="209" t="e">
        <f ca="1">(AH8/20)/SUM(资金来源运用!G14:资金来源运用!J14)</f>
        <v>#REF!</v>
      </c>
      <c r="J20" s="209"/>
      <c r="AH20" s="228"/>
    </row>
    <row r="21" s="1" customFormat="true" ht="15" hidden="true" spans="2:34">
      <c r="B21" s="210"/>
      <c r="C21" s="211" t="s">
        <v>695</v>
      </c>
      <c r="D21" s="212" t="e">
        <f>(AH6-AH7)/20/(#REF!+成本!G61)</f>
        <v>#REF!</v>
      </c>
      <c r="E21" s="212"/>
      <c r="F21" s="217"/>
      <c r="G21" s="217"/>
      <c r="H21" s="211"/>
      <c r="I21" s="220"/>
      <c r="J21" s="220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29"/>
    </row>
    <row r="22" hidden="true" spans="3:33">
      <c r="C22" s="200" t="s">
        <v>653</v>
      </c>
      <c r="D22" s="213" t="e">
        <f>IF(D12&lt;0,0,(D12+年成本分析!D11)*'总表 (2)'!D53)</f>
        <v>#REF!</v>
      </c>
      <c r="E22" s="213" t="e">
        <f>IF(E12&lt;0,0,(E12+年成本分析!E11)*'总表 (2)'!E53)</f>
        <v>#REF!</v>
      </c>
      <c r="F22" s="213" t="e">
        <f>IF(F12&lt;0,0,(F12+年成本分析!F11)*'总表 (2)'!F53)</f>
        <v>#REF!</v>
      </c>
      <c r="G22" s="213" t="e">
        <f>IF(G12&lt;0,0,(G12+年成本分析!G11)*'总表 (2)'!G53)</f>
        <v>#REF!</v>
      </c>
      <c r="H22" s="213" t="e">
        <f>IF(H12&lt;0,0,(H12+年成本分析!H11)*'总表 (2)'!H53)</f>
        <v>#REF!</v>
      </c>
      <c r="I22" s="213" t="e">
        <f>IF(I12&lt;0,0,(I12+年成本分析!I11)*'总表 (2)'!I53)</f>
        <v>#REF!</v>
      </c>
      <c r="J22" s="213" t="e">
        <f>IF(J12&lt;0,0,(J12+年成本分析!J11)*'总表 (2)'!J53)</f>
        <v>#REF!</v>
      </c>
      <c r="K22" s="213" t="e">
        <f>IF(K12&lt;0,0,(K12+年成本分析!K11)*'总表 (2)'!K53)</f>
        <v>#REF!</v>
      </c>
      <c r="L22" s="213" t="e">
        <f>IF(L12&lt;0,0,(L12+年成本分析!L11)*'总表 (2)'!L53)</f>
        <v>#REF!</v>
      </c>
      <c r="M22" s="213" t="e">
        <f>IF(M12&lt;0,0,(M12+年成本分析!M11)*'总表 (2)'!M53)</f>
        <v>#REF!</v>
      </c>
      <c r="N22" s="213" t="e">
        <f>IF(N12&lt;0,0,(N12+年成本分析!N11)*'总表 (2)'!N53)</f>
        <v>#REF!</v>
      </c>
      <c r="O22" s="213" t="e">
        <f>IF(O12&lt;0,0,(O12+年成本分析!O11)*'总表 (2)'!O53)</f>
        <v>#REF!</v>
      </c>
      <c r="P22" s="213" t="e">
        <f>IF(P12&lt;0,0,(P12+年成本分析!P11)*'总表 (2)'!P53)</f>
        <v>#REF!</v>
      </c>
      <c r="Q22" s="213" t="e">
        <f>IF(Q12&lt;0,0,(Q12+年成本分析!Q11)*'总表 (2)'!Q53)</f>
        <v>#REF!</v>
      </c>
      <c r="R22" s="213" t="e">
        <f>IF(R12&lt;0,0,(R12+年成本分析!R11)*'总表 (2)'!R53)</f>
        <v>#REF!</v>
      </c>
      <c r="S22" s="213" t="e">
        <f>IF(S12&lt;0,0,(S12+年成本分析!S11)*'总表 (2)'!S53)</f>
        <v>#REF!</v>
      </c>
      <c r="T22" s="213" t="e">
        <f>IF(T12&lt;0,0,(T12+年成本分析!T11)*'总表 (2)'!T53)</f>
        <v>#REF!</v>
      </c>
      <c r="U22" s="213" t="e">
        <f>IF(U12&lt;0,0,(U12+年成本分析!U11)*'总表 (2)'!U53)</f>
        <v>#REF!</v>
      </c>
      <c r="V22" s="213" t="e">
        <f>IF(V12&lt;0,0,(V12+年成本分析!V11)*'总表 (2)'!V53)</f>
        <v>#REF!</v>
      </c>
      <c r="W22" s="213" t="e">
        <f>IF(W12&lt;0,0,(W12+年成本分析!W11)*'总表 (2)'!W53)</f>
        <v>#REF!</v>
      </c>
      <c r="X22" s="213" t="e">
        <f>IF(X12&lt;0,0,(X12+年成本分析!X11)*'总表 (2)'!X53)</f>
        <v>#REF!</v>
      </c>
      <c r="Y22" s="213" t="e">
        <f>IF(Y12&lt;0,0,(Y12+年成本分析!Y11)*'总表 (2)'!Y53)</f>
        <v>#REF!</v>
      </c>
      <c r="Z22" s="213" t="e">
        <f>IF(Z12&lt;0,0,(Z12+年成本分析!Z11)*'总表 (2)'!Z53)</f>
        <v>#REF!</v>
      </c>
      <c r="AA22" s="213" t="e">
        <f>IF(AA12&lt;0,0,(AA12+年成本分析!AA11)*'总表 (2)'!AA53)</f>
        <v>#REF!</v>
      </c>
      <c r="AB22" s="213" t="e">
        <f>IF(AB12&lt;0,0,(AB12+年成本分析!AB11)*'总表 (2)'!AB53)</f>
        <v>#REF!</v>
      </c>
      <c r="AC22" s="213">
        <f>IF(AC12&lt;0,0,(AC12+年成本分析!AC11)*'总表 (2)'!AC53)</f>
        <v>0</v>
      </c>
      <c r="AD22" s="213">
        <f>IF(AD12&lt;0,0,(AD12+年成本分析!AD11)*'总表 (2)'!AD53)</f>
        <v>0</v>
      </c>
      <c r="AE22" s="213">
        <f>IF(AE12&lt;0,0,(AE12+年成本分析!AE11)*'总表 (2)'!AE53)</f>
        <v>0</v>
      </c>
      <c r="AF22" s="213">
        <f>IF(AF12&lt;0,0,(AF12+年成本分析!AF11)*'总表 (2)'!AF53)</f>
        <v>0</v>
      </c>
      <c r="AG22" s="213">
        <f>IF(AG12&lt;0,0,(AG12+年成本分析!AG11)*'总表 (2)'!AG53)</f>
        <v>0</v>
      </c>
    </row>
    <row r="23" s="1" customFormat="true" ht="14.25" hidden="true" spans="2:14">
      <c r="B23" s="214"/>
      <c r="C23" s="215" t="s">
        <v>696</v>
      </c>
      <c r="E23" s="218">
        <f>'总表 (2)'!D49</f>
        <v>4.56</v>
      </c>
      <c r="F23" s="208" t="s">
        <v>697</v>
      </c>
      <c r="K23" s="221"/>
      <c r="M23" s="223"/>
      <c r="N23" s="221"/>
    </row>
    <row r="24" s="1" customFormat="true" ht="14.25" spans="2:14">
      <c r="B24" s="214"/>
      <c r="K24" s="221"/>
      <c r="N24" s="221"/>
    </row>
    <row r="25" hidden="true" spans="4:23">
      <c r="D25" s="200" t="e">
        <f t="shared" ref="D25:W25" si="9">IF(D8-D11&gt;0,1,0)</f>
        <v>#REF!</v>
      </c>
      <c r="E25" s="200" t="e">
        <f t="shared" si="9"/>
        <v>#REF!</v>
      </c>
      <c r="F25" s="200" t="e">
        <f t="shared" si="9"/>
        <v>#REF!</v>
      </c>
      <c r="G25" s="200" t="e">
        <f t="shared" si="9"/>
        <v>#REF!</v>
      </c>
      <c r="H25" s="200" t="e">
        <f t="shared" si="9"/>
        <v>#REF!</v>
      </c>
      <c r="I25" s="200" t="e">
        <f t="shared" si="9"/>
        <v>#REF!</v>
      </c>
      <c r="J25" s="200" t="e">
        <f t="shared" si="9"/>
        <v>#REF!</v>
      </c>
      <c r="K25" s="200" t="e">
        <f t="shared" si="9"/>
        <v>#REF!</v>
      </c>
      <c r="L25" s="200" t="e">
        <f t="shared" si="9"/>
        <v>#REF!</v>
      </c>
      <c r="M25" s="200" t="e">
        <f t="shared" si="9"/>
        <v>#REF!</v>
      </c>
      <c r="N25" s="200" t="e">
        <f t="shared" si="9"/>
        <v>#REF!</v>
      </c>
      <c r="O25" s="200" t="e">
        <f t="shared" si="9"/>
        <v>#REF!</v>
      </c>
      <c r="P25" s="200" t="e">
        <f t="shared" si="9"/>
        <v>#REF!</v>
      </c>
      <c r="Q25" s="200" t="e">
        <f t="shared" si="9"/>
        <v>#REF!</v>
      </c>
      <c r="R25" s="200" t="e">
        <f t="shared" si="9"/>
        <v>#REF!</v>
      </c>
      <c r="S25" s="200" t="e">
        <f t="shared" si="9"/>
        <v>#REF!</v>
      </c>
      <c r="T25" s="200" t="e">
        <f t="shared" si="9"/>
        <v>#REF!</v>
      </c>
      <c r="U25" s="200" t="e">
        <f t="shared" si="9"/>
        <v>#REF!</v>
      </c>
      <c r="V25" s="200" t="e">
        <f t="shared" si="9"/>
        <v>#REF!</v>
      </c>
      <c r="W25" s="200" t="e">
        <f t="shared" si="9"/>
        <v>#REF!</v>
      </c>
    </row>
    <row r="26" hidden="true" spans="4:23">
      <c r="D26" s="200" t="e">
        <f>D25</f>
        <v>#REF!</v>
      </c>
      <c r="E26" s="200" t="e">
        <f t="shared" ref="E26:W26" si="10">E25+D26</f>
        <v>#REF!</v>
      </c>
      <c r="F26" s="200" t="e">
        <f t="shared" si="10"/>
        <v>#REF!</v>
      </c>
      <c r="G26" s="200" t="e">
        <f t="shared" si="10"/>
        <v>#REF!</v>
      </c>
      <c r="H26" s="200" t="e">
        <f t="shared" si="10"/>
        <v>#REF!</v>
      </c>
      <c r="I26" s="200" t="e">
        <f t="shared" si="10"/>
        <v>#REF!</v>
      </c>
      <c r="J26" s="200" t="e">
        <f t="shared" si="10"/>
        <v>#REF!</v>
      </c>
      <c r="K26" s="200" t="e">
        <f t="shared" si="10"/>
        <v>#REF!</v>
      </c>
      <c r="L26" s="200" t="e">
        <f t="shared" si="10"/>
        <v>#REF!</v>
      </c>
      <c r="M26" s="200" t="e">
        <f t="shared" si="10"/>
        <v>#REF!</v>
      </c>
      <c r="N26" s="200" t="e">
        <f t="shared" si="10"/>
        <v>#REF!</v>
      </c>
      <c r="O26" s="200" t="e">
        <f t="shared" si="10"/>
        <v>#REF!</v>
      </c>
      <c r="P26" s="200" t="e">
        <f t="shared" si="10"/>
        <v>#REF!</v>
      </c>
      <c r="Q26" s="200" t="e">
        <f t="shared" si="10"/>
        <v>#REF!</v>
      </c>
      <c r="R26" s="200" t="e">
        <f t="shared" si="10"/>
        <v>#REF!</v>
      </c>
      <c r="S26" s="200" t="e">
        <f t="shared" si="10"/>
        <v>#REF!</v>
      </c>
      <c r="T26" s="200" t="e">
        <f t="shared" si="10"/>
        <v>#REF!</v>
      </c>
      <c r="U26" s="200" t="e">
        <f t="shared" si="10"/>
        <v>#REF!</v>
      </c>
      <c r="V26" s="200" t="e">
        <f t="shared" si="10"/>
        <v>#REF!</v>
      </c>
      <c r="W26" s="200" t="e">
        <f t="shared" si="10"/>
        <v>#REF!</v>
      </c>
    </row>
    <row r="27" hidden="true" spans="4:33">
      <c r="D27" s="200" t="e">
        <f t="shared" ref="D27:W27" si="11">IF(D26=0,0,IF(D26&lt;=1,$D$28,IF(D26&lt;=5,$E$28,$F$28)))</f>
        <v>#REF!</v>
      </c>
      <c r="E27" s="200" t="e">
        <f t="shared" si="11"/>
        <v>#REF!</v>
      </c>
      <c r="F27" s="200" t="e">
        <f t="shared" si="11"/>
        <v>#REF!</v>
      </c>
      <c r="G27" s="200" t="e">
        <f t="shared" si="11"/>
        <v>#REF!</v>
      </c>
      <c r="H27" s="200" t="e">
        <f t="shared" si="11"/>
        <v>#REF!</v>
      </c>
      <c r="I27" s="200" t="e">
        <f t="shared" si="11"/>
        <v>#REF!</v>
      </c>
      <c r="J27" s="200" t="e">
        <f t="shared" si="11"/>
        <v>#REF!</v>
      </c>
      <c r="K27" s="200" t="e">
        <f t="shared" si="11"/>
        <v>#REF!</v>
      </c>
      <c r="L27" s="200" t="e">
        <f t="shared" si="11"/>
        <v>#REF!</v>
      </c>
      <c r="M27" s="200" t="e">
        <f t="shared" si="11"/>
        <v>#REF!</v>
      </c>
      <c r="N27" s="200" t="e">
        <f t="shared" si="11"/>
        <v>#REF!</v>
      </c>
      <c r="O27" s="200" t="e">
        <f t="shared" si="11"/>
        <v>#REF!</v>
      </c>
      <c r="P27" s="200" t="e">
        <f t="shared" si="11"/>
        <v>#REF!</v>
      </c>
      <c r="Q27" s="200" t="e">
        <f t="shared" si="11"/>
        <v>#REF!</v>
      </c>
      <c r="R27" s="200" t="e">
        <f t="shared" si="11"/>
        <v>#REF!</v>
      </c>
      <c r="S27" s="200" t="e">
        <f t="shared" si="11"/>
        <v>#REF!</v>
      </c>
      <c r="T27" s="200" t="e">
        <f t="shared" si="11"/>
        <v>#REF!</v>
      </c>
      <c r="U27" s="200" t="e">
        <f t="shared" si="11"/>
        <v>#REF!</v>
      </c>
      <c r="V27" s="200" t="e">
        <f t="shared" si="11"/>
        <v>#REF!</v>
      </c>
      <c r="W27" s="200" t="e">
        <f t="shared" si="11"/>
        <v>#REF!</v>
      </c>
      <c r="X27" s="200">
        <f>IF(X26=0,0,IF(X26&lt;=2,0,IF(X26&lt;=5,0.5,1)))</f>
        <v>0</v>
      </c>
      <c r="Y27" s="200">
        <f>IF(Y26=0,0,IF(Y26&lt;=2,0,IF(Y26&lt;=5,0.5,1)))</f>
        <v>0</v>
      </c>
      <c r="AE27" s="200">
        <f t="shared" ref="AE27:AG27" si="12">IF(AE26=0,0,IF(AE26&lt;=2,0,IF(AE26&lt;=5,0.5,1)))</f>
        <v>0</v>
      </c>
      <c r="AF27" s="200">
        <f t="shared" si="12"/>
        <v>0</v>
      </c>
      <c r="AG27" s="200">
        <f t="shared" si="12"/>
        <v>0</v>
      </c>
    </row>
    <row r="28" hidden="true" spans="4:6">
      <c r="D28" s="200">
        <v>0</v>
      </c>
      <c r="E28" s="200">
        <v>1</v>
      </c>
      <c r="F28" s="200">
        <v>1</v>
      </c>
    </row>
    <row r="29" hidden="true" spans="4:14">
      <c r="D29" s="216" t="e">
        <f>AH18+AH15+AH16</f>
        <v>#REF!</v>
      </c>
      <c r="E29" s="216"/>
      <c r="F29" s="219" t="e">
        <f>SUM(借款偿还!K26:Z26)</f>
        <v>#REF!</v>
      </c>
      <c r="G29" s="219"/>
      <c r="H29" s="216" t="e">
        <f>D29-F29</f>
        <v>#REF!</v>
      </c>
      <c r="I29" s="216"/>
      <c r="J29" s="219" t="e">
        <f>H29/20</f>
        <v>#REF!</v>
      </c>
      <c r="K29" s="219"/>
      <c r="L29" s="222" t="e">
        <f ca="1">J29/SUM(资金来源运用!G14:资金来源运用!J14)</f>
        <v>#REF!</v>
      </c>
      <c r="M29" s="222"/>
      <c r="N29" s="224" t="e">
        <f ca="1">D29/20/SUM(资金来源运用!G14:资金来源运用!J14)</f>
        <v>#REF!</v>
      </c>
    </row>
    <row r="30" ht="14.25" hidden="true" spans="3:4">
      <c r="C30" s="208" t="s">
        <v>698</v>
      </c>
      <c r="D30" s="1">
        <f>E23*0.8*0.8</f>
        <v>2.9184</v>
      </c>
    </row>
    <row r="31" hidden="true"/>
    <row r="32" hidden="true" spans="4:33">
      <c r="D32" s="213" t="e">
        <f>D11</f>
        <v>#REF!</v>
      </c>
      <c r="E32" s="213" t="e">
        <f t="shared" ref="E32:W32" si="13">D32+E11</f>
        <v>#REF!</v>
      </c>
      <c r="F32" s="213" t="e">
        <f t="shared" si="13"/>
        <v>#REF!</v>
      </c>
      <c r="G32" s="213" t="e">
        <f t="shared" si="13"/>
        <v>#REF!</v>
      </c>
      <c r="H32" s="213" t="e">
        <f t="shared" si="13"/>
        <v>#REF!</v>
      </c>
      <c r="I32" s="213" t="e">
        <f t="shared" si="13"/>
        <v>#REF!</v>
      </c>
      <c r="J32" s="213" t="e">
        <f t="shared" si="13"/>
        <v>#REF!</v>
      </c>
      <c r="K32" s="213" t="e">
        <f t="shared" si="13"/>
        <v>#REF!</v>
      </c>
      <c r="L32" s="213" t="e">
        <f t="shared" si="13"/>
        <v>#REF!</v>
      </c>
      <c r="M32" s="213" t="e">
        <f t="shared" si="13"/>
        <v>#REF!</v>
      </c>
      <c r="N32" s="213" t="e">
        <f t="shared" si="13"/>
        <v>#REF!</v>
      </c>
      <c r="O32" s="213" t="e">
        <f t="shared" si="13"/>
        <v>#REF!</v>
      </c>
      <c r="P32" s="213" t="e">
        <f t="shared" si="13"/>
        <v>#REF!</v>
      </c>
      <c r="Q32" s="213" t="e">
        <f t="shared" si="13"/>
        <v>#REF!</v>
      </c>
      <c r="R32" s="213" t="e">
        <f t="shared" si="13"/>
        <v>#REF!</v>
      </c>
      <c r="S32" s="213" t="e">
        <f t="shared" si="13"/>
        <v>#REF!</v>
      </c>
      <c r="T32" s="213" t="e">
        <f t="shared" si="13"/>
        <v>#REF!</v>
      </c>
      <c r="U32" s="213" t="e">
        <f t="shared" si="13"/>
        <v>#REF!</v>
      </c>
      <c r="V32" s="213" t="e">
        <f t="shared" si="13"/>
        <v>#REF!</v>
      </c>
      <c r="W32" s="213" t="e">
        <f t="shared" si="13"/>
        <v>#REF!</v>
      </c>
      <c r="X32" s="213" t="e">
        <f>W11+X11</f>
        <v>#REF!</v>
      </c>
      <c r="Y32" s="213" t="e">
        <f>X11+Y11</f>
        <v>#REF!</v>
      </c>
      <c r="Z32" s="213"/>
      <c r="AA32" s="213"/>
      <c r="AB32" s="213"/>
      <c r="AC32" s="213"/>
      <c r="AD32" s="213"/>
      <c r="AE32" s="213" t="e">
        <f>Y11+AE11</f>
        <v>#REF!</v>
      </c>
      <c r="AF32" s="213">
        <f>AE11+AF11</f>
        <v>0</v>
      </c>
      <c r="AG32" s="213">
        <f>AF11+AG11</f>
        <v>0</v>
      </c>
    </row>
    <row r="33" hidden="true" spans="4:34">
      <c r="D33" s="200" t="e">
        <f t="shared" ref="D33:W33" si="14">IF(D8&lt;0,D8,0)</f>
        <v>#REF!</v>
      </c>
      <c r="E33" s="200" t="e">
        <f t="shared" si="14"/>
        <v>#REF!</v>
      </c>
      <c r="F33" s="200" t="e">
        <f t="shared" si="14"/>
        <v>#REF!</v>
      </c>
      <c r="G33" s="200" t="e">
        <f t="shared" si="14"/>
        <v>#REF!</v>
      </c>
      <c r="H33" s="200" t="e">
        <f t="shared" si="14"/>
        <v>#REF!</v>
      </c>
      <c r="I33" s="200" t="e">
        <f t="shared" si="14"/>
        <v>#REF!</v>
      </c>
      <c r="J33" s="200" t="e">
        <f t="shared" si="14"/>
        <v>#REF!</v>
      </c>
      <c r="K33" s="200" t="e">
        <f t="shared" si="14"/>
        <v>#REF!</v>
      </c>
      <c r="L33" s="200" t="e">
        <f t="shared" si="14"/>
        <v>#REF!</v>
      </c>
      <c r="M33" s="200" t="e">
        <f t="shared" si="14"/>
        <v>#REF!</v>
      </c>
      <c r="N33" s="200" t="e">
        <f t="shared" si="14"/>
        <v>#REF!</v>
      </c>
      <c r="O33" s="200" t="e">
        <f t="shared" si="14"/>
        <v>#REF!</v>
      </c>
      <c r="P33" s="200" t="e">
        <f t="shared" si="14"/>
        <v>#REF!</v>
      </c>
      <c r="Q33" s="200" t="e">
        <f t="shared" si="14"/>
        <v>#REF!</v>
      </c>
      <c r="R33" s="200" t="e">
        <f t="shared" si="14"/>
        <v>#REF!</v>
      </c>
      <c r="S33" s="200" t="e">
        <f t="shared" si="14"/>
        <v>#REF!</v>
      </c>
      <c r="T33" s="200" t="e">
        <f t="shared" si="14"/>
        <v>#REF!</v>
      </c>
      <c r="U33" s="200" t="e">
        <f t="shared" si="14"/>
        <v>#REF!</v>
      </c>
      <c r="V33" s="200" t="e">
        <f t="shared" si="14"/>
        <v>#REF!</v>
      </c>
      <c r="W33" s="200" t="e">
        <f t="shared" si="14"/>
        <v>#REF!</v>
      </c>
      <c r="AH33" s="200" t="e">
        <f>SUM(D33:W33)</f>
        <v>#REF!</v>
      </c>
    </row>
    <row r="34" hidden="true" spans="2:23">
      <c r="B34" s="200"/>
      <c r="D34" s="200" t="e">
        <f t="shared" ref="D34:W34" si="15">IF(D8&lt;0,0,D8)</f>
        <v>#REF!</v>
      </c>
      <c r="E34" s="200" t="e">
        <f t="shared" si="15"/>
        <v>#REF!</v>
      </c>
      <c r="F34" s="200" t="e">
        <f t="shared" si="15"/>
        <v>#REF!</v>
      </c>
      <c r="G34" s="200" t="e">
        <f t="shared" si="15"/>
        <v>#REF!</v>
      </c>
      <c r="H34" s="200" t="e">
        <f t="shared" si="15"/>
        <v>#REF!</v>
      </c>
      <c r="I34" s="200" t="e">
        <f t="shared" si="15"/>
        <v>#REF!</v>
      </c>
      <c r="J34" s="200" t="e">
        <f t="shared" si="15"/>
        <v>#REF!</v>
      </c>
      <c r="K34" s="200" t="e">
        <f t="shared" si="15"/>
        <v>#REF!</v>
      </c>
      <c r="L34" s="200" t="e">
        <f t="shared" si="15"/>
        <v>#REF!</v>
      </c>
      <c r="M34" s="200" t="e">
        <f t="shared" si="15"/>
        <v>#REF!</v>
      </c>
      <c r="N34" s="200" t="e">
        <f t="shared" si="15"/>
        <v>#REF!</v>
      </c>
      <c r="O34" s="200" t="e">
        <f t="shared" si="15"/>
        <v>#REF!</v>
      </c>
      <c r="P34" s="200" t="e">
        <f t="shared" si="15"/>
        <v>#REF!</v>
      </c>
      <c r="Q34" s="200" t="e">
        <f t="shared" si="15"/>
        <v>#REF!</v>
      </c>
      <c r="R34" s="200" t="e">
        <f t="shared" si="15"/>
        <v>#REF!</v>
      </c>
      <c r="S34" s="200" t="e">
        <f t="shared" si="15"/>
        <v>#REF!</v>
      </c>
      <c r="T34" s="200" t="e">
        <f t="shared" si="15"/>
        <v>#REF!</v>
      </c>
      <c r="U34" s="200" t="e">
        <f t="shared" si="15"/>
        <v>#REF!</v>
      </c>
      <c r="V34" s="200" t="e">
        <f t="shared" si="15"/>
        <v>#REF!</v>
      </c>
      <c r="W34" s="200" t="e">
        <f t="shared" si="15"/>
        <v>#REF!</v>
      </c>
    </row>
    <row r="35" hidden="true" spans="2:23">
      <c r="B35" s="200"/>
      <c r="D35" s="213" t="e">
        <f t="shared" ref="D35:W35" si="16">D32+$AH$33</f>
        <v>#REF!</v>
      </c>
      <c r="E35" s="213" t="e">
        <f t="shared" si="16"/>
        <v>#REF!</v>
      </c>
      <c r="F35" s="213" t="e">
        <f t="shared" si="16"/>
        <v>#REF!</v>
      </c>
      <c r="G35" s="213" t="e">
        <f t="shared" si="16"/>
        <v>#REF!</v>
      </c>
      <c r="H35" s="213" t="e">
        <f t="shared" si="16"/>
        <v>#REF!</v>
      </c>
      <c r="I35" s="213" t="e">
        <f t="shared" si="16"/>
        <v>#REF!</v>
      </c>
      <c r="J35" s="213" t="e">
        <f t="shared" si="16"/>
        <v>#REF!</v>
      </c>
      <c r="K35" s="213" t="e">
        <f t="shared" si="16"/>
        <v>#REF!</v>
      </c>
      <c r="L35" s="213" t="e">
        <f t="shared" si="16"/>
        <v>#REF!</v>
      </c>
      <c r="M35" s="213" t="e">
        <f t="shared" si="16"/>
        <v>#REF!</v>
      </c>
      <c r="N35" s="213" t="e">
        <f t="shared" si="16"/>
        <v>#REF!</v>
      </c>
      <c r="O35" s="213" t="e">
        <f t="shared" si="16"/>
        <v>#REF!</v>
      </c>
      <c r="P35" s="213" t="e">
        <f t="shared" si="16"/>
        <v>#REF!</v>
      </c>
      <c r="Q35" s="213" t="e">
        <f t="shared" si="16"/>
        <v>#REF!</v>
      </c>
      <c r="R35" s="213" t="e">
        <f t="shared" si="16"/>
        <v>#REF!</v>
      </c>
      <c r="S35" s="213" t="e">
        <f t="shared" si="16"/>
        <v>#REF!</v>
      </c>
      <c r="T35" s="213" t="e">
        <f t="shared" si="16"/>
        <v>#REF!</v>
      </c>
      <c r="U35" s="213" t="e">
        <f t="shared" si="16"/>
        <v>#REF!</v>
      </c>
      <c r="V35" s="213" t="e">
        <f t="shared" si="16"/>
        <v>#REF!</v>
      </c>
      <c r="W35" s="213" t="e">
        <f t="shared" si="16"/>
        <v>#REF!</v>
      </c>
    </row>
    <row r="36" hidden="true" spans="2:33">
      <c r="B36" s="200"/>
      <c r="D36" s="200" t="e">
        <f t="shared" ref="D36:W36" si="17">IF(C35+D34&lt;0,D34,-C35)</f>
        <v>#REF!</v>
      </c>
      <c r="E36" s="200" t="e">
        <f t="shared" si="17"/>
        <v>#REF!</v>
      </c>
      <c r="F36" s="200" t="e">
        <f t="shared" si="17"/>
        <v>#REF!</v>
      </c>
      <c r="G36" s="200" t="e">
        <f t="shared" si="17"/>
        <v>#REF!</v>
      </c>
      <c r="H36" s="200" t="e">
        <f t="shared" si="17"/>
        <v>#REF!</v>
      </c>
      <c r="I36" s="200" t="e">
        <f t="shared" si="17"/>
        <v>#REF!</v>
      </c>
      <c r="J36" s="200" t="e">
        <f t="shared" si="17"/>
        <v>#REF!</v>
      </c>
      <c r="K36" s="200" t="e">
        <f t="shared" si="17"/>
        <v>#REF!</v>
      </c>
      <c r="L36" s="200" t="e">
        <f t="shared" si="17"/>
        <v>#REF!</v>
      </c>
      <c r="M36" s="200" t="e">
        <f t="shared" si="17"/>
        <v>#REF!</v>
      </c>
      <c r="N36" s="200" t="e">
        <f t="shared" si="17"/>
        <v>#REF!</v>
      </c>
      <c r="O36" s="200" t="e">
        <f t="shared" si="17"/>
        <v>#REF!</v>
      </c>
      <c r="P36" s="200" t="e">
        <f t="shared" si="17"/>
        <v>#REF!</v>
      </c>
      <c r="Q36" s="200" t="e">
        <f t="shared" si="17"/>
        <v>#REF!</v>
      </c>
      <c r="R36" s="200" t="e">
        <f t="shared" si="17"/>
        <v>#REF!</v>
      </c>
      <c r="S36" s="200" t="e">
        <f t="shared" si="17"/>
        <v>#REF!</v>
      </c>
      <c r="T36" s="200" t="e">
        <f t="shared" si="17"/>
        <v>#REF!</v>
      </c>
      <c r="U36" s="200" t="e">
        <f t="shared" si="17"/>
        <v>#REF!</v>
      </c>
      <c r="V36" s="200" t="e">
        <f t="shared" si="17"/>
        <v>#REF!</v>
      </c>
      <c r="W36" s="200" t="e">
        <f t="shared" si="17"/>
        <v>#REF!</v>
      </c>
      <c r="X36" s="200" t="e">
        <f>IF(W35+X34&lt;0,X34,-X34-W35)</f>
        <v>#REF!</v>
      </c>
      <c r="Y36" s="200">
        <f>IF(X35+Y34&lt;0,Y34,-Y34-X35)</f>
        <v>0</v>
      </c>
      <c r="AE36" s="200">
        <f>IF(Y35+AE34&lt;0,AE34,-AE34-Y35)</f>
        <v>0</v>
      </c>
      <c r="AF36" s="200">
        <f>IF(AE35+AF34&lt;0,AF34,-AF34-AE35)</f>
        <v>0</v>
      </c>
      <c r="AG36" s="200">
        <f>IF(AF35+AG34&lt;0,AG34,-AG34-AF35)</f>
        <v>0</v>
      </c>
    </row>
    <row r="37" hidden="true" spans="2:33">
      <c r="B37" s="200"/>
      <c r="D37" s="200" t="e">
        <f t="shared" ref="D37:Y37" si="18">IF(D36&gt;0,D36,0)</f>
        <v>#REF!</v>
      </c>
      <c r="E37" s="200" t="e">
        <f t="shared" si="18"/>
        <v>#REF!</v>
      </c>
      <c r="F37" s="200" t="e">
        <f t="shared" si="18"/>
        <v>#REF!</v>
      </c>
      <c r="G37" s="200" t="e">
        <f t="shared" si="18"/>
        <v>#REF!</v>
      </c>
      <c r="H37" s="200" t="e">
        <f t="shared" si="18"/>
        <v>#REF!</v>
      </c>
      <c r="I37" s="200" t="e">
        <f t="shared" si="18"/>
        <v>#REF!</v>
      </c>
      <c r="J37" s="200" t="e">
        <f t="shared" si="18"/>
        <v>#REF!</v>
      </c>
      <c r="K37" s="200" t="e">
        <f t="shared" si="18"/>
        <v>#REF!</v>
      </c>
      <c r="L37" s="200" t="e">
        <f t="shared" si="18"/>
        <v>#REF!</v>
      </c>
      <c r="M37" s="200" t="e">
        <f t="shared" si="18"/>
        <v>#REF!</v>
      </c>
      <c r="N37" s="200" t="e">
        <f t="shared" si="18"/>
        <v>#REF!</v>
      </c>
      <c r="O37" s="200" t="e">
        <f t="shared" si="18"/>
        <v>#REF!</v>
      </c>
      <c r="P37" s="200" t="e">
        <f t="shared" si="18"/>
        <v>#REF!</v>
      </c>
      <c r="Q37" s="200" t="e">
        <f t="shared" si="18"/>
        <v>#REF!</v>
      </c>
      <c r="R37" s="200" t="e">
        <f t="shared" si="18"/>
        <v>#REF!</v>
      </c>
      <c r="S37" s="200" t="e">
        <f t="shared" si="18"/>
        <v>#REF!</v>
      </c>
      <c r="T37" s="200" t="e">
        <f t="shared" si="18"/>
        <v>#REF!</v>
      </c>
      <c r="U37" s="200" t="e">
        <f t="shared" si="18"/>
        <v>#REF!</v>
      </c>
      <c r="V37" s="200" t="e">
        <f t="shared" si="18"/>
        <v>#REF!</v>
      </c>
      <c r="W37" s="200" t="e">
        <f t="shared" si="18"/>
        <v>#REF!</v>
      </c>
      <c r="X37" s="200" t="e">
        <f t="shared" si="18"/>
        <v>#REF!</v>
      </c>
      <c r="Y37" s="200">
        <f t="shared" si="18"/>
        <v>0</v>
      </c>
      <c r="AE37" s="200">
        <f t="shared" ref="AE37:AG37" si="19">IF(AE36&gt;0,AE36,0)</f>
        <v>0</v>
      </c>
      <c r="AF37" s="200">
        <f t="shared" si="19"/>
        <v>0</v>
      </c>
      <c r="AG37" s="200">
        <f t="shared" si="19"/>
        <v>0</v>
      </c>
    </row>
    <row r="38" hidden="true" spans="2:7">
      <c r="B38" s="200"/>
      <c r="E38" s="213"/>
      <c r="F38" s="213"/>
      <c r="G38" s="213"/>
    </row>
    <row r="39" hidden="true" spans="2:34">
      <c r="B39" s="200"/>
      <c r="D39" s="213" t="e">
        <f>D8+年成本分析!D11+年成本分析!D18+年成本分析!D19</f>
        <v>#REF!</v>
      </c>
      <c r="E39" s="213" t="e">
        <f>E8+年成本分析!E11+年成本分析!E18+年成本分析!E19</f>
        <v>#REF!</v>
      </c>
      <c r="F39" s="213" t="e">
        <f>F8+年成本分析!F11+年成本分析!F18+年成本分析!F19</f>
        <v>#REF!</v>
      </c>
      <c r="G39" s="213" t="e">
        <f>G8+年成本分析!G11+年成本分析!G18+年成本分析!G19</f>
        <v>#REF!</v>
      </c>
      <c r="H39" s="213" t="e">
        <f>H8+年成本分析!H11+年成本分析!H18+年成本分析!H19</f>
        <v>#REF!</v>
      </c>
      <c r="I39" s="213" t="e">
        <f>I8+年成本分析!I11+年成本分析!I18+年成本分析!I19</f>
        <v>#REF!</v>
      </c>
      <c r="J39" s="213" t="e">
        <f>J8+年成本分析!J11+年成本分析!J18+年成本分析!J19</f>
        <v>#REF!</v>
      </c>
      <c r="K39" s="213" t="e">
        <f>K8+年成本分析!K11+年成本分析!K18+年成本分析!K19</f>
        <v>#REF!</v>
      </c>
      <c r="L39" s="213" t="e">
        <f>L8+年成本分析!L11+年成本分析!L18+年成本分析!L19</f>
        <v>#REF!</v>
      </c>
      <c r="M39" s="213" t="e">
        <f>M8+年成本分析!M11+年成本分析!M18+年成本分析!M19</f>
        <v>#REF!</v>
      </c>
      <c r="N39" s="213" t="e">
        <f>N8+年成本分析!N11+年成本分析!N18+年成本分析!N19</f>
        <v>#REF!</v>
      </c>
      <c r="O39" s="213" t="e">
        <f>O8+年成本分析!O11+年成本分析!O18+年成本分析!O19</f>
        <v>#REF!</v>
      </c>
      <c r="P39" s="213" t="e">
        <f>P8+年成本分析!P11+年成本分析!P18+年成本分析!P19</f>
        <v>#REF!</v>
      </c>
      <c r="Q39" s="213" t="e">
        <f>Q8+年成本分析!Q11+年成本分析!Q18+年成本分析!Q19</f>
        <v>#REF!</v>
      </c>
      <c r="R39" s="213" t="e">
        <f>R8+年成本分析!R11+年成本分析!R18+年成本分析!R19</f>
        <v>#REF!</v>
      </c>
      <c r="S39" s="213" t="e">
        <f>S8+年成本分析!S11+年成本分析!S18+年成本分析!S19</f>
        <v>#REF!</v>
      </c>
      <c r="T39" s="213" t="e">
        <f>T8+年成本分析!T11+年成本分析!T18+年成本分析!T19</f>
        <v>#REF!</v>
      </c>
      <c r="U39" s="213" t="e">
        <f>U8+年成本分析!U11+年成本分析!U18+年成本分析!U19</f>
        <v>#REF!</v>
      </c>
      <c r="V39" s="213" t="e">
        <f>V8+年成本分析!V11+年成本分析!V18+年成本分析!V19</f>
        <v>#REF!</v>
      </c>
      <c r="W39" s="213" t="e">
        <f>W8+年成本分析!W11+年成本分析!W18+年成本分析!W19</f>
        <v>#REF!</v>
      </c>
      <c r="X39" s="213" t="e">
        <f>X8+年成本分析!X11+年成本分析!X18+年成本分析!X19</f>
        <v>#REF!</v>
      </c>
      <c r="Y39" s="213" t="e">
        <f>Y8+年成本分析!Y11+年成本分析!Y18+年成本分析!Y19</f>
        <v>#REF!</v>
      </c>
      <c r="Z39" s="213"/>
      <c r="AA39" s="213"/>
      <c r="AB39" s="213"/>
      <c r="AC39" s="213"/>
      <c r="AD39" s="213"/>
      <c r="AE39" s="213">
        <f>AE8+年成本分析!AE11+年成本分析!AE18+年成本分析!AE19</f>
        <v>0</v>
      </c>
      <c r="AF39" s="213">
        <f>AF8+年成本分析!AF11+年成本分析!AF18+年成本分析!AF19</f>
        <v>0</v>
      </c>
      <c r="AG39" s="213">
        <f>AG8+年成本分析!AG11+年成本分析!AG18+年成本分析!AG19</f>
        <v>0</v>
      </c>
      <c r="AH39" s="213" t="e">
        <f>SUM(D39:AG39)</f>
        <v>#REF!</v>
      </c>
    </row>
    <row r="40" hidden="true" spans="2:34">
      <c r="B40" s="200"/>
      <c r="AH40" s="230" t="e">
        <f>AH39/20</f>
        <v>#REF!</v>
      </c>
    </row>
    <row r="41" hidden="true" spans="2:34">
      <c r="B41" s="200"/>
      <c r="AH41" s="230" t="e">
        <f>AH14/20</f>
        <v>#REF!</v>
      </c>
    </row>
  </sheetData>
  <mergeCells count="12">
    <mergeCell ref="B1:AH1"/>
    <mergeCell ref="B2:AH2"/>
    <mergeCell ref="D3:AG3"/>
    <mergeCell ref="D20:E20"/>
    <mergeCell ref="I20:J20"/>
    <mergeCell ref="D21:E21"/>
    <mergeCell ref="D29:E29"/>
    <mergeCell ref="F29:G29"/>
    <mergeCell ref="H29:I29"/>
    <mergeCell ref="J29:K29"/>
    <mergeCell ref="L29:M29"/>
    <mergeCell ref="AH3:AH4"/>
  </mergeCells>
  <pageMargins left="0.78740157480315" right="0.15748031496063" top="1.33" bottom="0.236220472440945" header="0.92" footer="0.15748031496063"/>
  <pageSetup paperSize="9" scale="85" orientation="landscape"/>
  <headerFooter alignWithMargins="0">
    <oddHeader>&amp;R&amp;"Times New Roman,常规"&amp;14
&amp;"宋体,常规"          &amp;"Times New Roman,常规"&amp;12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0"/>
  <sheetViews>
    <sheetView showZeros="0" workbookViewId="0">
      <selection activeCell="L13" sqref="L13"/>
    </sheetView>
  </sheetViews>
  <sheetFormatPr defaultColWidth="10" defaultRowHeight="11.25"/>
  <cols>
    <col min="1" max="1" width="2.875" style="200" customWidth="true"/>
    <col min="2" max="2" width="2.625" style="201" customWidth="true"/>
    <col min="3" max="3" width="14.125" style="200" customWidth="true"/>
    <col min="4" max="10" width="6.5" style="200" customWidth="true"/>
    <col min="11" max="11" width="6.5" style="202" customWidth="true"/>
    <col min="12" max="13" width="7.5" style="200" customWidth="true"/>
    <col min="14" max="14" width="7.5" style="202" customWidth="true"/>
    <col min="15" max="16" width="7.375" style="200" customWidth="true"/>
    <col min="17" max="18" width="7.5" style="200" customWidth="true"/>
    <col min="19" max="22" width="7.375" style="200" customWidth="true"/>
    <col min="23" max="23" width="7.875" style="200" customWidth="true"/>
    <col min="24" max="28" width="6.5" style="200" customWidth="true"/>
    <col min="29" max="33" width="6.5" style="200" hidden="true" customWidth="true" outlineLevel="1"/>
    <col min="34" max="34" width="7.875" style="200" customWidth="true" collapsed="true"/>
    <col min="35" max="35" width="10" style="200" hidden="true" customWidth="true"/>
    <col min="36" max="16384" width="10" style="200"/>
  </cols>
  <sheetData>
    <row r="1" ht="28.5" customHeight="true" spans="2:34">
      <c r="B1" s="203" t="s">
        <v>699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ht="14.25" customHeight="true" spans="2:34">
      <c r="B2" s="204" t="s">
        <v>617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</row>
    <row r="3" ht="26.1" customHeight="true" spans="2:34">
      <c r="B3" s="125" t="s">
        <v>493</v>
      </c>
      <c r="C3" s="126" t="s">
        <v>618</v>
      </c>
      <c r="D3" s="41" t="s">
        <v>621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4"/>
      <c r="AH3" s="225" t="s">
        <v>305</v>
      </c>
    </row>
    <row r="4" ht="26.1" customHeight="true" spans="2:34">
      <c r="B4" s="127" t="s">
        <v>496</v>
      </c>
      <c r="C4" s="8" t="s">
        <v>475</v>
      </c>
      <c r="D4" s="145">
        <f>现金流量!J5</f>
        <v>3</v>
      </c>
      <c r="E4" s="145">
        <f t="shared" ref="E4:AG4" si="0">D4+1</f>
        <v>4</v>
      </c>
      <c r="F4" s="145">
        <f t="shared" si="0"/>
        <v>5</v>
      </c>
      <c r="G4" s="145">
        <f t="shared" si="0"/>
        <v>6</v>
      </c>
      <c r="H4" s="145">
        <f t="shared" si="0"/>
        <v>7</v>
      </c>
      <c r="I4" s="145">
        <f t="shared" si="0"/>
        <v>8</v>
      </c>
      <c r="J4" s="145">
        <f t="shared" si="0"/>
        <v>9</v>
      </c>
      <c r="K4" s="145">
        <f t="shared" si="0"/>
        <v>10</v>
      </c>
      <c r="L4" s="145">
        <f t="shared" si="0"/>
        <v>11</v>
      </c>
      <c r="M4" s="145">
        <f t="shared" si="0"/>
        <v>12</v>
      </c>
      <c r="N4" s="145">
        <f t="shared" si="0"/>
        <v>13</v>
      </c>
      <c r="O4" s="145">
        <f t="shared" si="0"/>
        <v>14</v>
      </c>
      <c r="P4" s="145">
        <f t="shared" si="0"/>
        <v>15</v>
      </c>
      <c r="Q4" s="145">
        <f t="shared" si="0"/>
        <v>16</v>
      </c>
      <c r="R4" s="145">
        <f t="shared" si="0"/>
        <v>17</v>
      </c>
      <c r="S4" s="145">
        <f t="shared" si="0"/>
        <v>18</v>
      </c>
      <c r="T4" s="145">
        <f t="shared" si="0"/>
        <v>19</v>
      </c>
      <c r="U4" s="145">
        <f t="shared" si="0"/>
        <v>20</v>
      </c>
      <c r="V4" s="145">
        <f t="shared" si="0"/>
        <v>21</v>
      </c>
      <c r="W4" s="145">
        <f t="shared" si="0"/>
        <v>22</v>
      </c>
      <c r="X4" s="145">
        <f t="shared" si="0"/>
        <v>23</v>
      </c>
      <c r="Y4" s="145">
        <f t="shared" si="0"/>
        <v>24</v>
      </c>
      <c r="Z4" s="145">
        <f t="shared" si="0"/>
        <v>25</v>
      </c>
      <c r="AA4" s="145">
        <f t="shared" si="0"/>
        <v>26</v>
      </c>
      <c r="AB4" s="145">
        <f t="shared" si="0"/>
        <v>27</v>
      </c>
      <c r="AC4" s="145">
        <f t="shared" si="0"/>
        <v>28</v>
      </c>
      <c r="AD4" s="145">
        <f t="shared" si="0"/>
        <v>29</v>
      </c>
      <c r="AE4" s="145">
        <f t="shared" si="0"/>
        <v>30</v>
      </c>
      <c r="AF4" s="145">
        <f t="shared" si="0"/>
        <v>31</v>
      </c>
      <c r="AG4" s="145">
        <f t="shared" si="0"/>
        <v>32</v>
      </c>
      <c r="AH4" s="225"/>
    </row>
    <row r="5" ht="26.1" customHeight="true" spans="2:35">
      <c r="B5" s="11">
        <v>1</v>
      </c>
      <c r="C5" s="15" t="s">
        <v>700</v>
      </c>
      <c r="D5" s="205" t="e">
        <f>成本!D27+成本!D30</f>
        <v>#REF!</v>
      </c>
      <c r="E5" s="205" t="e">
        <f t="shared" ref="E5:AB5" si="1">D7</f>
        <v>#REF!</v>
      </c>
      <c r="F5" s="205" t="e">
        <f t="shared" si="1"/>
        <v>#REF!</v>
      </c>
      <c r="G5" s="205" t="e">
        <f t="shared" si="1"/>
        <v>#REF!</v>
      </c>
      <c r="H5" s="205" t="e">
        <f t="shared" si="1"/>
        <v>#REF!</v>
      </c>
      <c r="I5" s="205" t="e">
        <f t="shared" si="1"/>
        <v>#REF!</v>
      </c>
      <c r="J5" s="205" t="e">
        <f t="shared" si="1"/>
        <v>#REF!</v>
      </c>
      <c r="K5" s="205" t="e">
        <f t="shared" si="1"/>
        <v>#REF!</v>
      </c>
      <c r="L5" s="205" t="e">
        <f t="shared" si="1"/>
        <v>#REF!</v>
      </c>
      <c r="M5" s="205" t="e">
        <f t="shared" si="1"/>
        <v>#REF!</v>
      </c>
      <c r="N5" s="205" t="e">
        <f t="shared" si="1"/>
        <v>#REF!</v>
      </c>
      <c r="O5" s="205" t="e">
        <f t="shared" si="1"/>
        <v>#REF!</v>
      </c>
      <c r="P5" s="205" t="e">
        <f t="shared" si="1"/>
        <v>#REF!</v>
      </c>
      <c r="Q5" s="205" t="e">
        <f t="shared" si="1"/>
        <v>#REF!</v>
      </c>
      <c r="R5" s="205" t="e">
        <f t="shared" si="1"/>
        <v>#REF!</v>
      </c>
      <c r="S5" s="205" t="e">
        <f t="shared" si="1"/>
        <v>#REF!</v>
      </c>
      <c r="T5" s="205" t="e">
        <f t="shared" si="1"/>
        <v>#REF!</v>
      </c>
      <c r="U5" s="205" t="e">
        <f t="shared" si="1"/>
        <v>#REF!</v>
      </c>
      <c r="V5" s="205" t="e">
        <f t="shared" si="1"/>
        <v>#REF!</v>
      </c>
      <c r="W5" s="205" t="e">
        <f t="shared" si="1"/>
        <v>#REF!</v>
      </c>
      <c r="X5" s="205" t="e">
        <f t="shared" si="1"/>
        <v>#REF!</v>
      </c>
      <c r="Y5" s="205" t="e">
        <f t="shared" si="1"/>
        <v>#REF!</v>
      </c>
      <c r="Z5" s="205" t="e">
        <f t="shared" si="1"/>
        <v>#REF!</v>
      </c>
      <c r="AA5" s="205" t="e">
        <f t="shared" si="1"/>
        <v>#REF!</v>
      </c>
      <c r="AB5" s="205" t="e">
        <f t="shared" si="1"/>
        <v>#REF!</v>
      </c>
      <c r="AC5" s="205"/>
      <c r="AD5" s="205"/>
      <c r="AE5" s="205"/>
      <c r="AF5" s="205"/>
      <c r="AG5" s="205"/>
      <c r="AH5" s="205"/>
      <c r="AI5" s="200">
        <f>AH5/'总表 (2)'!D43</f>
        <v>0</v>
      </c>
    </row>
    <row r="6" ht="26.1" customHeight="true" spans="2:34">
      <c r="B6" s="11">
        <v>2</v>
      </c>
      <c r="C6" s="15" t="s">
        <v>701</v>
      </c>
      <c r="D6" s="205" t="e">
        <f>IF(D4-$D$4+1&lt;=成本!$F$35,成本!$D$48,0)</f>
        <v>#REF!</v>
      </c>
      <c r="E6" s="205" t="e">
        <f>IF(E4-$D$4+1&lt;=成本!$F$35,成本!$D$48,0)</f>
        <v>#REF!</v>
      </c>
      <c r="F6" s="205" t="e">
        <f>IF(F4-$D$4+1&lt;=成本!$F$35,成本!$D$48,0)</f>
        <v>#REF!</v>
      </c>
      <c r="G6" s="205" t="e">
        <f>IF(G4-$D$4+1&lt;=成本!$F$35,成本!$D$48,0)</f>
        <v>#REF!</v>
      </c>
      <c r="H6" s="205" t="e">
        <f>IF(H4-$D$4+1&lt;=成本!$F$35,成本!$D$48,0)</f>
        <v>#REF!</v>
      </c>
      <c r="I6" s="205" t="e">
        <f>IF(I4-$D$4+1&lt;=成本!$F$35,成本!$D$48,0)</f>
        <v>#REF!</v>
      </c>
      <c r="J6" s="205" t="e">
        <f>IF(J4-$D$4+1&lt;=成本!$F$35,成本!$D$48,0)</f>
        <v>#REF!</v>
      </c>
      <c r="K6" s="205" t="e">
        <f>IF(K4-$D$4+1&lt;=成本!$F$35,成本!$D$48,0)</f>
        <v>#REF!</v>
      </c>
      <c r="L6" s="205" t="e">
        <f>IF(L4-$D$4+1&lt;=成本!$F$35,成本!$D$48,0)</f>
        <v>#REF!</v>
      </c>
      <c r="M6" s="205" t="e">
        <f>IF(M4-$D$4+1&lt;=成本!$F$35,成本!$D$48,0)</f>
        <v>#REF!</v>
      </c>
      <c r="N6" s="205" t="e">
        <f>IF(N4-$D$4+1&lt;=成本!$F$35,成本!$D$48,0)</f>
        <v>#REF!</v>
      </c>
      <c r="O6" s="205" t="e">
        <f>IF(O4-$D$4+1&lt;=成本!$F$35,成本!$D$48,0)</f>
        <v>#REF!</v>
      </c>
      <c r="P6" s="205" t="e">
        <f>IF(P4-$D$4+1&lt;=成本!$F$35,成本!$D$48,0)</f>
        <v>#REF!</v>
      </c>
      <c r="Q6" s="205" t="e">
        <f>IF(Q4-$D$4+1&lt;=成本!$F$35,成本!$D$48,0)</f>
        <v>#REF!</v>
      </c>
      <c r="R6" s="205" t="e">
        <f>IF(R4-$D$4+1&lt;=成本!$F$35,成本!$D$48,0)</f>
        <v>#REF!</v>
      </c>
      <c r="S6" s="205" t="e">
        <f>IF(S4-$D$4+1&lt;=成本!$F$35,成本!$D$48,0)</f>
        <v>#REF!</v>
      </c>
      <c r="T6" s="205" t="e">
        <f>IF(T4-$D$4+1&lt;=成本!$F$35,成本!$D$48,0)</f>
        <v>#REF!</v>
      </c>
      <c r="U6" s="205" t="e">
        <f>IF(U4-$D$4+1&lt;=成本!$F$35,成本!$D$48,0)</f>
        <v>#REF!</v>
      </c>
      <c r="V6" s="205" t="e">
        <f>IF(V4-$D$4+1&lt;=成本!$F$35,成本!$D$48,0)</f>
        <v>#REF!</v>
      </c>
      <c r="W6" s="205" t="e">
        <f>IF(W4-$D$4+1&lt;=成本!$F$35,成本!$D$48,0)</f>
        <v>#REF!</v>
      </c>
      <c r="X6" s="205" t="e">
        <f>IF(X4-$D$4+1&lt;=成本!$F$35,成本!$D$48,0)</f>
        <v>#REF!</v>
      </c>
      <c r="Y6" s="205" t="e">
        <f>IF(Y4-$D$4+1&lt;=成本!$F$35,成本!$D$48,0)</f>
        <v>#REF!</v>
      </c>
      <c r="Z6" s="205" t="e">
        <f>IF(Z4-$D$4+1&lt;=成本!$F$35,成本!$D$48,0)</f>
        <v>#REF!</v>
      </c>
      <c r="AA6" s="205" t="e">
        <f>IF(AA4-$D$4+1&lt;=成本!$F$35,成本!$D$48,0)</f>
        <v>#REF!</v>
      </c>
      <c r="AB6" s="205" t="e">
        <f>IF(AB4-$D$4+1&lt;=成本!$F$35,成本!$D$48,0)</f>
        <v>#REF!</v>
      </c>
      <c r="AC6" s="205"/>
      <c r="AD6" s="205"/>
      <c r="AE6" s="205"/>
      <c r="AF6" s="205"/>
      <c r="AG6" s="205"/>
      <c r="AH6" s="205" t="e">
        <f>SUM(D6:AG6)</f>
        <v>#REF!</v>
      </c>
    </row>
    <row r="7" ht="26.1" customHeight="true" spans="2:35">
      <c r="B7" s="11">
        <v>3</v>
      </c>
      <c r="C7" s="15" t="s">
        <v>702</v>
      </c>
      <c r="D7" s="205" t="e">
        <f t="shared" ref="D7:AB7" si="2">D5-D6</f>
        <v>#REF!</v>
      </c>
      <c r="E7" s="205" t="e">
        <f t="shared" si="2"/>
        <v>#REF!</v>
      </c>
      <c r="F7" s="205" t="e">
        <f t="shared" si="2"/>
        <v>#REF!</v>
      </c>
      <c r="G7" s="205" t="e">
        <f t="shared" si="2"/>
        <v>#REF!</v>
      </c>
      <c r="H7" s="205" t="e">
        <f t="shared" si="2"/>
        <v>#REF!</v>
      </c>
      <c r="I7" s="205" t="e">
        <f t="shared" si="2"/>
        <v>#REF!</v>
      </c>
      <c r="J7" s="205" t="e">
        <f t="shared" si="2"/>
        <v>#REF!</v>
      </c>
      <c r="K7" s="205" t="e">
        <f t="shared" si="2"/>
        <v>#REF!</v>
      </c>
      <c r="L7" s="205" t="e">
        <f t="shared" si="2"/>
        <v>#REF!</v>
      </c>
      <c r="M7" s="205" t="e">
        <f t="shared" si="2"/>
        <v>#REF!</v>
      </c>
      <c r="N7" s="205" t="e">
        <f t="shared" si="2"/>
        <v>#REF!</v>
      </c>
      <c r="O7" s="205" t="e">
        <f t="shared" si="2"/>
        <v>#REF!</v>
      </c>
      <c r="P7" s="205" t="e">
        <f t="shared" si="2"/>
        <v>#REF!</v>
      </c>
      <c r="Q7" s="205" t="e">
        <f t="shared" si="2"/>
        <v>#REF!</v>
      </c>
      <c r="R7" s="205" t="e">
        <f t="shared" si="2"/>
        <v>#REF!</v>
      </c>
      <c r="S7" s="205" t="e">
        <f t="shared" si="2"/>
        <v>#REF!</v>
      </c>
      <c r="T7" s="205" t="e">
        <f t="shared" si="2"/>
        <v>#REF!</v>
      </c>
      <c r="U7" s="205" t="e">
        <f t="shared" si="2"/>
        <v>#REF!</v>
      </c>
      <c r="V7" s="205" t="e">
        <f t="shared" si="2"/>
        <v>#REF!</v>
      </c>
      <c r="W7" s="205" t="e">
        <f t="shared" si="2"/>
        <v>#REF!</v>
      </c>
      <c r="X7" s="205" t="e">
        <f t="shared" si="2"/>
        <v>#REF!</v>
      </c>
      <c r="Y7" s="205" t="e">
        <f t="shared" si="2"/>
        <v>#REF!</v>
      </c>
      <c r="Z7" s="205" t="e">
        <f t="shared" si="2"/>
        <v>#REF!</v>
      </c>
      <c r="AA7" s="205" t="e">
        <f t="shared" si="2"/>
        <v>#REF!</v>
      </c>
      <c r="AB7" s="205" t="e">
        <f t="shared" si="2"/>
        <v>#REF!</v>
      </c>
      <c r="AC7" s="205"/>
      <c r="AD7" s="205"/>
      <c r="AE7" s="205"/>
      <c r="AF7" s="205"/>
      <c r="AG7" s="205"/>
      <c r="AH7" s="205"/>
      <c r="AI7" s="227"/>
    </row>
    <row r="8" ht="26.1" customHeight="true" spans="2:34">
      <c r="B8" s="11" t="s">
        <v>39</v>
      </c>
      <c r="C8" s="15" t="s">
        <v>639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>
        <f t="shared" ref="AH8:AH17" si="3">SUM(D8:AG8)</f>
        <v>0</v>
      </c>
    </row>
    <row r="9" ht="26.1" customHeight="true" spans="2:34">
      <c r="B9" s="11"/>
      <c r="C9" s="1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ht="26.1" customHeight="true" spans="1:34">
      <c r="A10" s="134"/>
      <c r="B10" s="11"/>
      <c r="C10" s="1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5"/>
    </row>
    <row r="11" ht="26.1" customHeight="true" spans="1:34">
      <c r="A11" s="134"/>
      <c r="B11" s="11"/>
      <c r="C11" s="1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5"/>
    </row>
    <row r="12" ht="26.1" customHeight="true" spans="2:34">
      <c r="B12" s="11"/>
      <c r="C12" s="1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>
        <f>IF(X11&lt;0,0,X11*'总表 (2)'!X53)</f>
        <v>0</v>
      </c>
      <c r="Y12" s="205">
        <f>IF(Y11&lt;0,0,Y11*'总表 (2)'!Y53)</f>
        <v>0</v>
      </c>
      <c r="Z12" s="205">
        <f>IF(Z11&lt;0,0,Z11*'总表 (2)'!Z53)</f>
        <v>0</v>
      </c>
      <c r="AA12" s="205">
        <f>IF(AA11&lt;0,0,AA11*'总表 (2)'!AA53)</f>
        <v>0</v>
      </c>
      <c r="AB12" s="205">
        <f>IF(AB11&lt;0,0,AB11*'总表 (2)'!AB53)</f>
        <v>0</v>
      </c>
      <c r="AC12" s="205">
        <f>IF(AC11&lt;0,0,AC11*'总表 (2)'!AC53)</f>
        <v>0</v>
      </c>
      <c r="AD12" s="205">
        <f>IF(AD11&lt;0,0,AD11*'总表 (2)'!AD53)</f>
        <v>0</v>
      </c>
      <c r="AE12" s="205">
        <f>IF(AE11&lt;0,0,AE11*'总表 (2)'!AE53)</f>
        <v>0</v>
      </c>
      <c r="AF12" s="205">
        <f>IF(AF11&lt;0,0,AF11*'总表 (2)'!AF53)</f>
        <v>0</v>
      </c>
      <c r="AG12" s="205">
        <f>IF(AG11&lt;0,0,AG11*'总表 (2)'!AG53)</f>
        <v>0</v>
      </c>
      <c r="AH12" s="205">
        <f t="shared" si="3"/>
        <v>0</v>
      </c>
    </row>
    <row r="13" ht="26.1" customHeight="true" spans="2:34">
      <c r="B13" s="11"/>
      <c r="C13" s="191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>
        <f t="shared" ref="X13:AG13" si="4">X9-X12</f>
        <v>0</v>
      </c>
      <c r="Y13" s="205">
        <f t="shared" si="4"/>
        <v>0</v>
      </c>
      <c r="Z13" s="205">
        <f t="shared" si="4"/>
        <v>0</v>
      </c>
      <c r="AA13" s="205">
        <f t="shared" si="4"/>
        <v>0</v>
      </c>
      <c r="AB13" s="205">
        <f t="shared" si="4"/>
        <v>0</v>
      </c>
      <c r="AC13" s="205">
        <f t="shared" si="4"/>
        <v>0</v>
      </c>
      <c r="AD13" s="205">
        <f t="shared" si="4"/>
        <v>0</v>
      </c>
      <c r="AE13" s="205">
        <f t="shared" si="4"/>
        <v>0</v>
      </c>
      <c r="AF13" s="205">
        <f t="shared" si="4"/>
        <v>0</v>
      </c>
      <c r="AG13" s="205">
        <f t="shared" si="4"/>
        <v>0</v>
      </c>
      <c r="AH13" s="205">
        <f t="shared" si="3"/>
        <v>0</v>
      </c>
    </row>
    <row r="14" ht="26.1" customHeight="true" spans="2:34">
      <c r="B14" s="11"/>
      <c r="C14" s="1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 t="e">
        <f>IF(借款偿还!AE6&gt;0,0,X13*10%)</f>
        <v>#REF!</v>
      </c>
      <c r="Y14" s="205" t="e">
        <f>IF(借款偿还!AF6&gt;0,0,Y13*10%)</f>
        <v>#REF!</v>
      </c>
      <c r="Z14" s="205" t="e">
        <f>IF(借款偿还!AG6&gt;0,0,Z13*10%)</f>
        <v>#REF!</v>
      </c>
      <c r="AA14" s="205" t="e">
        <f>IF(借款偿还!AH6&gt;0,0,AA13*10%)</f>
        <v>#REF!</v>
      </c>
      <c r="AB14" s="205" t="e">
        <f>IF(借款偿还!AI6&gt;0,0,AB13*10%)</f>
        <v>#REF!</v>
      </c>
      <c r="AC14" s="205" t="e">
        <f>IF(借款偿还!AJ6&gt;0,0,AC13*10%)</f>
        <v>#REF!</v>
      </c>
      <c r="AD14" s="205" t="e">
        <f>IF(借款偿还!AK6&gt;0,0,AD13*10%)</f>
        <v>#REF!</v>
      </c>
      <c r="AE14" s="205" t="e">
        <f>IF(借款偿还!AL6&gt;0,0,AE13*10%)</f>
        <v>#REF!</v>
      </c>
      <c r="AF14" s="205" t="e">
        <f>IF(借款偿还!AM6&gt;0,0,AF13*10%)</f>
        <v>#REF!</v>
      </c>
      <c r="AG14" s="205" t="e">
        <f>IF(借款偿还!AN6&gt;0,0,AG13*10%)</f>
        <v>#REF!</v>
      </c>
      <c r="AH14" s="205" t="e">
        <f t="shared" si="3"/>
        <v>#REF!</v>
      </c>
    </row>
    <row r="15" ht="26.1" hidden="true" customHeight="true" spans="2:34">
      <c r="B15" s="11"/>
      <c r="C15" s="1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 t="e">
        <f>IF(借款偿还!AE6&gt;0,0,X13*5%)</f>
        <v>#REF!</v>
      </c>
      <c r="Y15" s="205" t="e">
        <f>IF(借款偿还!AF6&gt;0,0,Y13*5%)</f>
        <v>#REF!</v>
      </c>
      <c r="Z15" s="205" t="e">
        <f>IF(借款偿还!AG6&gt;0,0,Z13*5%)</f>
        <v>#REF!</v>
      </c>
      <c r="AA15" s="205" t="e">
        <f>IF(借款偿还!AH6&gt;0,0,AA13*5%)</f>
        <v>#REF!</v>
      </c>
      <c r="AB15" s="205" t="e">
        <f>IF(借款偿还!AI6&gt;0,0,AB13*5%)</f>
        <v>#REF!</v>
      </c>
      <c r="AC15" s="205" t="e">
        <f>IF(借款偿还!AJ6&gt;0,0,AC13*5%)</f>
        <v>#REF!</v>
      </c>
      <c r="AD15" s="205" t="e">
        <f>IF(借款偿还!AK6&gt;0,0,AD13*5%)</f>
        <v>#REF!</v>
      </c>
      <c r="AE15" s="205" t="e">
        <f>IF(借款偿还!AL6&gt;0,0,AE13*5%)</f>
        <v>#REF!</v>
      </c>
      <c r="AF15" s="205" t="e">
        <f>IF(借款偿还!AM6&gt;0,0,AF13*5%)</f>
        <v>#REF!</v>
      </c>
      <c r="AG15" s="205" t="e">
        <f>IF(借款偿还!AN6&gt;0,0,AG13*5%)</f>
        <v>#REF!</v>
      </c>
      <c r="AH15" s="205" t="e">
        <f t="shared" si="3"/>
        <v>#REF!</v>
      </c>
    </row>
    <row r="16" ht="26.1" customHeight="true" spans="2:34">
      <c r="B16" s="11"/>
      <c r="C16" s="1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 t="e">
        <f>借款偿还!AE33</f>
        <v>#REF!</v>
      </c>
      <c r="Y16" s="205" t="e">
        <f>借款偿还!AF33</f>
        <v>#REF!</v>
      </c>
      <c r="Z16" s="205" t="e">
        <f>借款偿还!AG33</f>
        <v>#REF!</v>
      </c>
      <c r="AA16" s="205" t="e">
        <f>借款偿还!AH33</f>
        <v>#REF!</v>
      </c>
      <c r="AB16" s="205" t="e">
        <f>借款偿还!AI33</f>
        <v>#REF!</v>
      </c>
      <c r="AC16" s="205" t="e">
        <f>借款偿还!AJ33</f>
        <v>#REF!</v>
      </c>
      <c r="AD16" s="205" t="e">
        <f>借款偿还!AK33</f>
        <v>#REF!</v>
      </c>
      <c r="AE16" s="205" t="e">
        <f>借款偿还!AL33</f>
        <v>#REF!</v>
      </c>
      <c r="AF16" s="205" t="e">
        <f>借款偿还!AM33</f>
        <v>#REF!</v>
      </c>
      <c r="AG16" s="205" t="e">
        <f>借款偿还!AN33</f>
        <v>#REF!</v>
      </c>
      <c r="AH16" s="205" t="e">
        <f t="shared" si="3"/>
        <v>#REF!</v>
      </c>
    </row>
    <row r="17" ht="26.1" customHeight="true" spans="2:34">
      <c r="B17" s="11"/>
      <c r="C17" s="1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 t="e">
        <f t="shared" ref="X17:AG17" si="5">ROUND(X13-X14-X15-X16,2)</f>
        <v>#REF!</v>
      </c>
      <c r="Y17" s="205" t="e">
        <f t="shared" si="5"/>
        <v>#REF!</v>
      </c>
      <c r="Z17" s="205" t="e">
        <f t="shared" si="5"/>
        <v>#REF!</v>
      </c>
      <c r="AA17" s="205" t="e">
        <f t="shared" si="5"/>
        <v>#REF!</v>
      </c>
      <c r="AB17" s="205" t="e">
        <f t="shared" si="5"/>
        <v>#REF!</v>
      </c>
      <c r="AC17" s="205" t="e">
        <f t="shared" si="5"/>
        <v>#REF!</v>
      </c>
      <c r="AD17" s="205" t="e">
        <f t="shared" si="5"/>
        <v>#REF!</v>
      </c>
      <c r="AE17" s="205" t="e">
        <f t="shared" si="5"/>
        <v>#REF!</v>
      </c>
      <c r="AF17" s="205" t="e">
        <f t="shared" si="5"/>
        <v>#REF!</v>
      </c>
      <c r="AG17" s="205" t="e">
        <f t="shared" si="5"/>
        <v>#REF!</v>
      </c>
      <c r="AH17" s="205" t="e">
        <f t="shared" si="3"/>
        <v>#REF!</v>
      </c>
    </row>
    <row r="18" ht="26.1" customHeight="true" spans="2:34">
      <c r="B18" s="11"/>
      <c r="C18" s="1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 t="e">
        <f t="shared" ref="X18:AG18" si="6">IF(X4&gt;zq,0,W18+X17)</f>
        <v>#REF!</v>
      </c>
      <c r="Y18" s="205" t="e">
        <f t="shared" si="6"/>
        <v>#REF!</v>
      </c>
      <c r="Z18" s="205" t="e">
        <f t="shared" si="6"/>
        <v>#REF!</v>
      </c>
      <c r="AA18" s="205" t="e">
        <f t="shared" si="6"/>
        <v>#REF!</v>
      </c>
      <c r="AB18" s="205" t="e">
        <f t="shared" si="6"/>
        <v>#REF!</v>
      </c>
      <c r="AC18" s="205">
        <f t="shared" si="6"/>
        <v>0</v>
      </c>
      <c r="AD18" s="205">
        <f t="shared" si="6"/>
        <v>0</v>
      </c>
      <c r="AE18" s="205">
        <f t="shared" si="6"/>
        <v>0</v>
      </c>
      <c r="AF18" s="205">
        <f t="shared" si="6"/>
        <v>0</v>
      </c>
      <c r="AG18" s="205">
        <f t="shared" si="6"/>
        <v>0</v>
      </c>
      <c r="AH18" s="205"/>
    </row>
    <row r="19" s="1" customFormat="true" ht="14.25" hidden="true" spans="2:34">
      <c r="B19" s="207"/>
      <c r="C19" s="208" t="s">
        <v>693</v>
      </c>
      <c r="D19" s="209" t="e">
        <f>(AH9/20)/(#REF!+成本!G61)</f>
        <v>#REF!</v>
      </c>
      <c r="E19" s="209"/>
      <c r="H19" s="208" t="s">
        <v>694</v>
      </c>
      <c r="I19" s="209" t="e">
        <f ca="1">(AH9/20)/SUM(资金来源运用!G14:资金来源运用!J14)</f>
        <v>#REF!</v>
      </c>
      <c r="J19" s="209"/>
      <c r="AH19" s="228"/>
    </row>
    <row r="20" s="1" customFormat="true" ht="15" hidden="true" spans="2:34">
      <c r="B20" s="210"/>
      <c r="C20" s="211" t="s">
        <v>695</v>
      </c>
      <c r="D20" s="212" t="e">
        <f>(AH5-AH6)/20/(#REF!+成本!G61)</f>
        <v>#REF!</v>
      </c>
      <c r="E20" s="212"/>
      <c r="F20" s="217"/>
      <c r="G20" s="217"/>
      <c r="H20" s="211"/>
      <c r="I20" s="220"/>
      <c r="J20" s="220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29"/>
    </row>
    <row r="21" hidden="true" spans="3:33">
      <c r="C21" s="200" t="s">
        <v>653</v>
      </c>
      <c r="D21" s="213" t="e">
        <f>IF(D11&lt;0,0,(D11+年成本分析!D11)*'总表 (2)'!D53)</f>
        <v>#REF!</v>
      </c>
      <c r="E21" s="213" t="e">
        <f>IF(E11&lt;0,0,(E11+年成本分析!E11)*'总表 (2)'!E53)</f>
        <v>#REF!</v>
      </c>
      <c r="F21" s="213" t="e">
        <f>IF(F11&lt;0,0,(F11+年成本分析!F11)*'总表 (2)'!F53)</f>
        <v>#REF!</v>
      </c>
      <c r="G21" s="213" t="e">
        <f>IF(G11&lt;0,0,(G11+年成本分析!G11)*'总表 (2)'!G53)</f>
        <v>#REF!</v>
      </c>
      <c r="H21" s="213" t="e">
        <f>IF(H11&lt;0,0,(H11+年成本分析!H11)*'总表 (2)'!H53)</f>
        <v>#REF!</v>
      </c>
      <c r="I21" s="213" t="e">
        <f>IF(I11&lt;0,0,(I11+年成本分析!I11)*'总表 (2)'!I53)</f>
        <v>#REF!</v>
      </c>
      <c r="J21" s="213" t="e">
        <f>IF(J11&lt;0,0,(J11+年成本分析!J11)*'总表 (2)'!J53)</f>
        <v>#REF!</v>
      </c>
      <c r="K21" s="213" t="e">
        <f>IF(K11&lt;0,0,(K11+年成本分析!K11)*'总表 (2)'!K53)</f>
        <v>#REF!</v>
      </c>
      <c r="L21" s="213" t="e">
        <f>IF(L11&lt;0,0,(L11+年成本分析!L11)*'总表 (2)'!L53)</f>
        <v>#REF!</v>
      </c>
      <c r="M21" s="213" t="e">
        <f>IF(M11&lt;0,0,(M11+年成本分析!M11)*'总表 (2)'!M53)</f>
        <v>#REF!</v>
      </c>
      <c r="N21" s="213" t="e">
        <f>IF(N11&lt;0,0,(N11+年成本分析!N11)*'总表 (2)'!N53)</f>
        <v>#REF!</v>
      </c>
      <c r="O21" s="213" t="e">
        <f>IF(O11&lt;0,0,(O11+年成本分析!O11)*'总表 (2)'!O53)</f>
        <v>#REF!</v>
      </c>
      <c r="P21" s="213" t="e">
        <f>IF(P11&lt;0,0,(P11+年成本分析!P11)*'总表 (2)'!P53)</f>
        <v>#REF!</v>
      </c>
      <c r="Q21" s="213" t="e">
        <f>IF(Q11&lt;0,0,(Q11+年成本分析!Q11)*'总表 (2)'!Q53)</f>
        <v>#REF!</v>
      </c>
      <c r="R21" s="213" t="e">
        <f>IF(R11&lt;0,0,(R11+年成本分析!R11)*'总表 (2)'!R53)</f>
        <v>#REF!</v>
      </c>
      <c r="S21" s="213" t="e">
        <f>IF(S11&lt;0,0,(S11+年成本分析!S11)*'总表 (2)'!S53)</f>
        <v>#REF!</v>
      </c>
      <c r="T21" s="213" t="e">
        <f>IF(T11&lt;0,0,(T11+年成本分析!T11)*'总表 (2)'!T53)</f>
        <v>#REF!</v>
      </c>
      <c r="U21" s="213" t="e">
        <f>IF(U11&lt;0,0,(U11+年成本分析!U11)*'总表 (2)'!U53)</f>
        <v>#REF!</v>
      </c>
      <c r="V21" s="213">
        <f>IF(V11&lt;0,0,(V11+年成本分析!V11)*'总表 (2)'!V53)</f>
        <v>0</v>
      </c>
      <c r="W21" s="213">
        <f>IF(W11&lt;0,0,(W11+年成本分析!W11)*'总表 (2)'!W53)</f>
        <v>0</v>
      </c>
      <c r="X21" s="213">
        <f>IF(X11&lt;0,0,(X11+年成本分析!X11)*'总表 (2)'!X53)</f>
        <v>0</v>
      </c>
      <c r="Y21" s="213">
        <f>IF(Y11&lt;0,0,(Y11+年成本分析!Y11)*'总表 (2)'!Y53)</f>
        <v>0</v>
      </c>
      <c r="Z21" s="213">
        <f>IF(Z11&lt;0,0,(Z11+年成本分析!Z11)*'总表 (2)'!Z53)</f>
        <v>0</v>
      </c>
      <c r="AA21" s="213">
        <f>IF(AA11&lt;0,0,(AA11+年成本分析!AA11)*'总表 (2)'!AA53)</f>
        <v>0</v>
      </c>
      <c r="AB21" s="213">
        <f>IF(AB11&lt;0,0,(AB11+年成本分析!AB11)*'总表 (2)'!AB53)</f>
        <v>0</v>
      </c>
      <c r="AC21" s="213">
        <f>IF(AC11&lt;0,0,(AC11+年成本分析!AC11)*'总表 (2)'!AC53)</f>
        <v>0</v>
      </c>
      <c r="AD21" s="213">
        <f>IF(AD11&lt;0,0,(AD11+年成本分析!AD11)*'总表 (2)'!AD53)</f>
        <v>0</v>
      </c>
      <c r="AE21" s="213">
        <f>IF(AE11&lt;0,0,(AE11+年成本分析!AE11)*'总表 (2)'!AE53)</f>
        <v>0</v>
      </c>
      <c r="AF21" s="213">
        <f>IF(AF11&lt;0,0,(AF11+年成本分析!AF11)*'总表 (2)'!AF53)</f>
        <v>0</v>
      </c>
      <c r="AG21" s="213">
        <f>IF(AG11&lt;0,0,(AG11+年成本分析!AG11)*'总表 (2)'!AG53)</f>
        <v>0</v>
      </c>
    </row>
    <row r="22" s="1" customFormat="true" ht="14.25" hidden="true" spans="2:14">
      <c r="B22" s="214"/>
      <c r="C22" s="215" t="s">
        <v>696</v>
      </c>
      <c r="E22" s="218">
        <f>'总表 (2)'!D49</f>
        <v>4.56</v>
      </c>
      <c r="F22" s="208" t="s">
        <v>697</v>
      </c>
      <c r="K22" s="221"/>
      <c r="M22" s="223"/>
      <c r="N22" s="221"/>
    </row>
    <row r="23" s="1" customFormat="true" ht="14.25" spans="2:14">
      <c r="B23" s="214"/>
      <c r="K23" s="221"/>
      <c r="N23" s="221"/>
    </row>
    <row r="24" hidden="true" spans="4:23">
      <c r="D24" s="200">
        <f t="shared" ref="D24:W24" si="7">IF(D9-D10&gt;0,1,0)</f>
        <v>0</v>
      </c>
      <c r="E24" s="200">
        <f t="shared" si="7"/>
        <v>0</v>
      </c>
      <c r="F24" s="200">
        <f t="shared" si="7"/>
        <v>0</v>
      </c>
      <c r="G24" s="200">
        <f t="shared" si="7"/>
        <v>0</v>
      </c>
      <c r="H24" s="200">
        <f t="shared" si="7"/>
        <v>0</v>
      </c>
      <c r="I24" s="200">
        <f t="shared" si="7"/>
        <v>0</v>
      </c>
      <c r="J24" s="200">
        <f t="shared" si="7"/>
        <v>0</v>
      </c>
      <c r="K24" s="200">
        <f t="shared" si="7"/>
        <v>0</v>
      </c>
      <c r="L24" s="200">
        <f t="shared" si="7"/>
        <v>0</v>
      </c>
      <c r="M24" s="200">
        <f t="shared" si="7"/>
        <v>0</v>
      </c>
      <c r="N24" s="200">
        <f t="shared" si="7"/>
        <v>0</v>
      </c>
      <c r="O24" s="200">
        <f t="shared" si="7"/>
        <v>0</v>
      </c>
      <c r="P24" s="200">
        <f t="shared" si="7"/>
        <v>0</v>
      </c>
      <c r="Q24" s="200">
        <f t="shared" si="7"/>
        <v>0</v>
      </c>
      <c r="R24" s="200">
        <f t="shared" si="7"/>
        <v>0</v>
      </c>
      <c r="S24" s="200">
        <f t="shared" si="7"/>
        <v>0</v>
      </c>
      <c r="T24" s="200">
        <f t="shared" si="7"/>
        <v>0</v>
      </c>
      <c r="U24" s="200">
        <f t="shared" si="7"/>
        <v>0</v>
      </c>
      <c r="V24" s="200">
        <f t="shared" si="7"/>
        <v>0</v>
      </c>
      <c r="W24" s="200">
        <f t="shared" si="7"/>
        <v>0</v>
      </c>
    </row>
    <row r="25" hidden="true" spans="4:23">
      <c r="D25" s="200">
        <f>D24</f>
        <v>0</v>
      </c>
      <c r="E25" s="200">
        <f t="shared" ref="E25:W25" si="8">E24+D25</f>
        <v>0</v>
      </c>
      <c r="F25" s="200">
        <f t="shared" si="8"/>
        <v>0</v>
      </c>
      <c r="G25" s="200">
        <f t="shared" si="8"/>
        <v>0</v>
      </c>
      <c r="H25" s="200">
        <f t="shared" si="8"/>
        <v>0</v>
      </c>
      <c r="I25" s="200">
        <f t="shared" si="8"/>
        <v>0</v>
      </c>
      <c r="J25" s="200">
        <f t="shared" si="8"/>
        <v>0</v>
      </c>
      <c r="K25" s="200">
        <f t="shared" si="8"/>
        <v>0</v>
      </c>
      <c r="L25" s="200">
        <f t="shared" si="8"/>
        <v>0</v>
      </c>
      <c r="M25" s="200">
        <f t="shared" si="8"/>
        <v>0</v>
      </c>
      <c r="N25" s="200">
        <f t="shared" si="8"/>
        <v>0</v>
      </c>
      <c r="O25" s="200">
        <f t="shared" si="8"/>
        <v>0</v>
      </c>
      <c r="P25" s="200">
        <f t="shared" si="8"/>
        <v>0</v>
      </c>
      <c r="Q25" s="200">
        <f t="shared" si="8"/>
        <v>0</v>
      </c>
      <c r="R25" s="200">
        <f t="shared" si="8"/>
        <v>0</v>
      </c>
      <c r="S25" s="200">
        <f t="shared" si="8"/>
        <v>0</v>
      </c>
      <c r="T25" s="200">
        <f t="shared" si="8"/>
        <v>0</v>
      </c>
      <c r="U25" s="200">
        <f t="shared" si="8"/>
        <v>0</v>
      </c>
      <c r="V25" s="200">
        <f t="shared" si="8"/>
        <v>0</v>
      </c>
      <c r="W25" s="200">
        <f t="shared" si="8"/>
        <v>0</v>
      </c>
    </row>
    <row r="26" hidden="true" spans="4:33">
      <c r="D26" s="200">
        <f t="shared" ref="D26:W26" si="9">IF(D25=0,0,IF(D25&lt;=1,$D$27,IF(D25&lt;=5,$E$27,$F$27)))</f>
        <v>0</v>
      </c>
      <c r="E26" s="200">
        <f t="shared" si="9"/>
        <v>0</v>
      </c>
      <c r="F26" s="200">
        <f t="shared" si="9"/>
        <v>0</v>
      </c>
      <c r="G26" s="200">
        <f t="shared" si="9"/>
        <v>0</v>
      </c>
      <c r="H26" s="200">
        <f t="shared" si="9"/>
        <v>0</v>
      </c>
      <c r="I26" s="200">
        <f t="shared" si="9"/>
        <v>0</v>
      </c>
      <c r="J26" s="200">
        <f t="shared" si="9"/>
        <v>0</v>
      </c>
      <c r="K26" s="200">
        <f t="shared" si="9"/>
        <v>0</v>
      </c>
      <c r="L26" s="200">
        <f t="shared" si="9"/>
        <v>0</v>
      </c>
      <c r="M26" s="200">
        <f t="shared" si="9"/>
        <v>0</v>
      </c>
      <c r="N26" s="200">
        <f t="shared" si="9"/>
        <v>0</v>
      </c>
      <c r="O26" s="200">
        <f t="shared" si="9"/>
        <v>0</v>
      </c>
      <c r="P26" s="200">
        <f t="shared" si="9"/>
        <v>0</v>
      </c>
      <c r="Q26" s="200">
        <f t="shared" si="9"/>
        <v>0</v>
      </c>
      <c r="R26" s="200">
        <f t="shared" si="9"/>
        <v>0</v>
      </c>
      <c r="S26" s="200">
        <f t="shared" si="9"/>
        <v>0</v>
      </c>
      <c r="T26" s="200">
        <f t="shared" si="9"/>
        <v>0</v>
      </c>
      <c r="U26" s="200">
        <f t="shared" si="9"/>
        <v>0</v>
      </c>
      <c r="V26" s="200">
        <f t="shared" si="9"/>
        <v>0</v>
      </c>
      <c r="W26" s="200">
        <f t="shared" si="9"/>
        <v>0</v>
      </c>
      <c r="X26" s="200">
        <f>IF(X25=0,0,IF(X25&lt;=2,0,IF(X25&lt;=5,0.5,1)))</f>
        <v>0</v>
      </c>
      <c r="Y26" s="200">
        <f>IF(Y25=0,0,IF(Y25&lt;=2,0,IF(Y25&lt;=5,0.5,1)))</f>
        <v>0</v>
      </c>
      <c r="AE26" s="200">
        <f t="shared" ref="AE26:AG26" si="10">IF(AE25=0,0,IF(AE25&lt;=2,0,IF(AE25&lt;=5,0.5,1)))</f>
        <v>0</v>
      </c>
      <c r="AF26" s="200">
        <f t="shared" si="10"/>
        <v>0</v>
      </c>
      <c r="AG26" s="200">
        <f t="shared" si="10"/>
        <v>0</v>
      </c>
    </row>
    <row r="27" hidden="true" spans="4:6">
      <c r="D27" s="200">
        <v>0</v>
      </c>
      <c r="E27" s="200">
        <v>1</v>
      </c>
      <c r="F27" s="200">
        <v>1</v>
      </c>
    </row>
    <row r="28" hidden="true" spans="4:14">
      <c r="D28" s="216" t="e">
        <f>AH17+AH14+AH15</f>
        <v>#REF!</v>
      </c>
      <c r="E28" s="216"/>
      <c r="F28" s="219" t="e">
        <f>SUM(借款偿还!K26:Z26)</f>
        <v>#REF!</v>
      </c>
      <c r="G28" s="219"/>
      <c r="H28" s="216" t="e">
        <f>D28-F28</f>
        <v>#REF!</v>
      </c>
      <c r="I28" s="216"/>
      <c r="J28" s="219" t="e">
        <f>H28/20</f>
        <v>#REF!</v>
      </c>
      <c r="K28" s="219"/>
      <c r="L28" s="222" t="e">
        <f ca="1">J28/SUM(资金来源运用!G14:资金来源运用!J14)</f>
        <v>#REF!</v>
      </c>
      <c r="M28" s="222"/>
      <c r="N28" s="224" t="e">
        <f ca="1">D28/20/SUM(资金来源运用!G14:资金来源运用!J14)</f>
        <v>#REF!</v>
      </c>
    </row>
    <row r="29" ht="14.25" hidden="true" spans="3:4">
      <c r="C29" s="208" t="s">
        <v>698</v>
      </c>
      <c r="D29" s="1">
        <f>E22*0.8*0.8</f>
        <v>2.9184</v>
      </c>
    </row>
    <row r="30" hidden="true"/>
    <row r="31" hidden="true" spans="4:33">
      <c r="D31" s="213">
        <f>D10</f>
        <v>0</v>
      </c>
      <c r="E31" s="213">
        <f t="shared" ref="E31:W31" si="11">D31+E10</f>
        <v>0</v>
      </c>
      <c r="F31" s="213">
        <f t="shared" si="11"/>
        <v>0</v>
      </c>
      <c r="G31" s="213">
        <f t="shared" si="11"/>
        <v>0</v>
      </c>
      <c r="H31" s="213">
        <f t="shared" si="11"/>
        <v>0</v>
      </c>
      <c r="I31" s="213">
        <f t="shared" si="11"/>
        <v>0</v>
      </c>
      <c r="J31" s="213">
        <f t="shared" si="11"/>
        <v>0</v>
      </c>
      <c r="K31" s="213">
        <f t="shared" si="11"/>
        <v>0</v>
      </c>
      <c r="L31" s="213">
        <f t="shared" si="11"/>
        <v>0</v>
      </c>
      <c r="M31" s="213">
        <f t="shared" si="11"/>
        <v>0</v>
      </c>
      <c r="N31" s="213">
        <f t="shared" si="11"/>
        <v>0</v>
      </c>
      <c r="O31" s="213">
        <f t="shared" si="11"/>
        <v>0</v>
      </c>
      <c r="P31" s="213">
        <f t="shared" si="11"/>
        <v>0</v>
      </c>
      <c r="Q31" s="213">
        <f t="shared" si="11"/>
        <v>0</v>
      </c>
      <c r="R31" s="213">
        <f t="shared" si="11"/>
        <v>0</v>
      </c>
      <c r="S31" s="213">
        <f t="shared" si="11"/>
        <v>0</v>
      </c>
      <c r="T31" s="213">
        <f t="shared" si="11"/>
        <v>0</v>
      </c>
      <c r="U31" s="213">
        <f t="shared" si="11"/>
        <v>0</v>
      </c>
      <c r="V31" s="213">
        <f t="shared" si="11"/>
        <v>0</v>
      </c>
      <c r="W31" s="213">
        <f t="shared" si="11"/>
        <v>0</v>
      </c>
      <c r="X31" s="213">
        <f>W10+X10</f>
        <v>0</v>
      </c>
      <c r="Y31" s="213">
        <f>X10+Y10</f>
        <v>0</v>
      </c>
      <c r="Z31" s="213"/>
      <c r="AA31" s="213"/>
      <c r="AB31" s="213"/>
      <c r="AC31" s="213"/>
      <c r="AD31" s="213"/>
      <c r="AE31" s="213">
        <f>Y10+AE10</f>
        <v>0</v>
      </c>
      <c r="AF31" s="213">
        <f>AE10+AF10</f>
        <v>0</v>
      </c>
      <c r="AG31" s="213">
        <f>AF10+AG10</f>
        <v>0</v>
      </c>
    </row>
    <row r="32" hidden="true" spans="4:34">
      <c r="D32" s="200">
        <f t="shared" ref="D32:W32" si="12">IF(D9&lt;0,D9,0)</f>
        <v>0</v>
      </c>
      <c r="E32" s="200">
        <f t="shared" si="12"/>
        <v>0</v>
      </c>
      <c r="F32" s="200">
        <f t="shared" si="12"/>
        <v>0</v>
      </c>
      <c r="G32" s="200">
        <f t="shared" si="12"/>
        <v>0</v>
      </c>
      <c r="H32" s="200">
        <f t="shared" si="12"/>
        <v>0</v>
      </c>
      <c r="I32" s="200">
        <f t="shared" si="12"/>
        <v>0</v>
      </c>
      <c r="J32" s="200">
        <f t="shared" si="12"/>
        <v>0</v>
      </c>
      <c r="K32" s="200">
        <f t="shared" si="12"/>
        <v>0</v>
      </c>
      <c r="L32" s="200">
        <f t="shared" si="12"/>
        <v>0</v>
      </c>
      <c r="M32" s="200">
        <f t="shared" si="12"/>
        <v>0</v>
      </c>
      <c r="N32" s="200">
        <f t="shared" si="12"/>
        <v>0</v>
      </c>
      <c r="O32" s="200">
        <f t="shared" si="12"/>
        <v>0</v>
      </c>
      <c r="P32" s="200">
        <f t="shared" si="12"/>
        <v>0</v>
      </c>
      <c r="Q32" s="200">
        <f t="shared" si="12"/>
        <v>0</v>
      </c>
      <c r="R32" s="200">
        <f t="shared" si="12"/>
        <v>0</v>
      </c>
      <c r="S32" s="200">
        <f t="shared" si="12"/>
        <v>0</v>
      </c>
      <c r="T32" s="200">
        <f t="shared" si="12"/>
        <v>0</v>
      </c>
      <c r="U32" s="200">
        <f t="shared" si="12"/>
        <v>0</v>
      </c>
      <c r="V32" s="200">
        <f t="shared" si="12"/>
        <v>0</v>
      </c>
      <c r="W32" s="200">
        <f t="shared" si="12"/>
        <v>0</v>
      </c>
      <c r="AH32" s="200">
        <f>SUM(D32:W32)</f>
        <v>0</v>
      </c>
    </row>
    <row r="33" hidden="true" spans="4:23">
      <c r="D33" s="200">
        <f t="shared" ref="D33:W33" si="13">IF(D9&lt;0,0,D9)</f>
        <v>0</v>
      </c>
      <c r="E33" s="200">
        <f t="shared" si="13"/>
        <v>0</v>
      </c>
      <c r="F33" s="200">
        <f t="shared" si="13"/>
        <v>0</v>
      </c>
      <c r="G33" s="200">
        <f t="shared" si="13"/>
        <v>0</v>
      </c>
      <c r="H33" s="200">
        <f t="shared" si="13"/>
        <v>0</v>
      </c>
      <c r="I33" s="200">
        <f t="shared" si="13"/>
        <v>0</v>
      </c>
      <c r="J33" s="200">
        <f t="shared" si="13"/>
        <v>0</v>
      </c>
      <c r="K33" s="200">
        <f t="shared" si="13"/>
        <v>0</v>
      </c>
      <c r="L33" s="200">
        <f t="shared" si="13"/>
        <v>0</v>
      </c>
      <c r="M33" s="200">
        <f t="shared" si="13"/>
        <v>0</v>
      </c>
      <c r="N33" s="200">
        <f t="shared" si="13"/>
        <v>0</v>
      </c>
      <c r="O33" s="200">
        <f t="shared" si="13"/>
        <v>0</v>
      </c>
      <c r="P33" s="200">
        <f t="shared" si="13"/>
        <v>0</v>
      </c>
      <c r="Q33" s="200">
        <f t="shared" si="13"/>
        <v>0</v>
      </c>
      <c r="R33" s="200">
        <f t="shared" si="13"/>
        <v>0</v>
      </c>
      <c r="S33" s="200">
        <f t="shared" si="13"/>
        <v>0</v>
      </c>
      <c r="T33" s="200">
        <f t="shared" si="13"/>
        <v>0</v>
      </c>
      <c r="U33" s="200">
        <f t="shared" si="13"/>
        <v>0</v>
      </c>
      <c r="V33" s="200">
        <f t="shared" si="13"/>
        <v>0</v>
      </c>
      <c r="W33" s="200">
        <f t="shared" si="13"/>
        <v>0</v>
      </c>
    </row>
    <row r="34" hidden="true" spans="4:23">
      <c r="D34" s="213">
        <f t="shared" ref="D34:W34" si="14">D31+$AH$32</f>
        <v>0</v>
      </c>
      <c r="E34" s="213">
        <f t="shared" si="14"/>
        <v>0</v>
      </c>
      <c r="F34" s="213">
        <f t="shared" si="14"/>
        <v>0</v>
      </c>
      <c r="G34" s="213">
        <f t="shared" si="14"/>
        <v>0</v>
      </c>
      <c r="H34" s="213">
        <f t="shared" si="14"/>
        <v>0</v>
      </c>
      <c r="I34" s="213">
        <f t="shared" si="14"/>
        <v>0</v>
      </c>
      <c r="J34" s="213">
        <f t="shared" si="14"/>
        <v>0</v>
      </c>
      <c r="K34" s="213">
        <f t="shared" si="14"/>
        <v>0</v>
      </c>
      <c r="L34" s="213">
        <f t="shared" si="14"/>
        <v>0</v>
      </c>
      <c r="M34" s="213">
        <f t="shared" si="14"/>
        <v>0</v>
      </c>
      <c r="N34" s="213">
        <f t="shared" si="14"/>
        <v>0</v>
      </c>
      <c r="O34" s="213">
        <f t="shared" si="14"/>
        <v>0</v>
      </c>
      <c r="P34" s="213">
        <f t="shared" si="14"/>
        <v>0</v>
      </c>
      <c r="Q34" s="213">
        <f t="shared" si="14"/>
        <v>0</v>
      </c>
      <c r="R34" s="213">
        <f t="shared" si="14"/>
        <v>0</v>
      </c>
      <c r="S34" s="213">
        <f t="shared" si="14"/>
        <v>0</v>
      </c>
      <c r="T34" s="213">
        <f t="shared" si="14"/>
        <v>0</v>
      </c>
      <c r="U34" s="213">
        <f t="shared" si="14"/>
        <v>0</v>
      </c>
      <c r="V34" s="213">
        <f t="shared" si="14"/>
        <v>0</v>
      </c>
      <c r="W34" s="213">
        <f t="shared" si="14"/>
        <v>0</v>
      </c>
    </row>
    <row r="35" hidden="true" spans="4:33">
      <c r="D35" s="200">
        <f t="shared" ref="D35:W35" si="15">IF(C34+D33&lt;0,D33,-C34)</f>
        <v>0</v>
      </c>
      <c r="E35" s="200">
        <f t="shared" si="15"/>
        <v>0</v>
      </c>
      <c r="F35" s="200">
        <f t="shared" si="15"/>
        <v>0</v>
      </c>
      <c r="G35" s="200">
        <f t="shared" si="15"/>
        <v>0</v>
      </c>
      <c r="H35" s="200">
        <f t="shared" si="15"/>
        <v>0</v>
      </c>
      <c r="I35" s="200">
        <f t="shared" si="15"/>
        <v>0</v>
      </c>
      <c r="J35" s="200">
        <f t="shared" si="15"/>
        <v>0</v>
      </c>
      <c r="K35" s="200">
        <f t="shared" si="15"/>
        <v>0</v>
      </c>
      <c r="L35" s="200">
        <f t="shared" si="15"/>
        <v>0</v>
      </c>
      <c r="M35" s="200">
        <f t="shared" si="15"/>
        <v>0</v>
      </c>
      <c r="N35" s="200">
        <f t="shared" si="15"/>
        <v>0</v>
      </c>
      <c r="O35" s="200">
        <f t="shared" si="15"/>
        <v>0</v>
      </c>
      <c r="P35" s="200">
        <f t="shared" si="15"/>
        <v>0</v>
      </c>
      <c r="Q35" s="200">
        <f t="shared" si="15"/>
        <v>0</v>
      </c>
      <c r="R35" s="200">
        <f t="shared" si="15"/>
        <v>0</v>
      </c>
      <c r="S35" s="200">
        <f t="shared" si="15"/>
        <v>0</v>
      </c>
      <c r="T35" s="200">
        <f t="shared" si="15"/>
        <v>0</v>
      </c>
      <c r="U35" s="200">
        <f t="shared" si="15"/>
        <v>0</v>
      </c>
      <c r="V35" s="200">
        <f t="shared" si="15"/>
        <v>0</v>
      </c>
      <c r="W35" s="200">
        <f t="shared" si="15"/>
        <v>0</v>
      </c>
      <c r="X35" s="200">
        <f>IF(W34+X33&lt;0,X33,-X33-W34)</f>
        <v>0</v>
      </c>
      <c r="Y35" s="200">
        <f>IF(X34+Y33&lt;0,Y33,-Y33-X34)</f>
        <v>0</v>
      </c>
      <c r="AE35" s="200">
        <f>IF(Y34+AE33&lt;0,AE33,-AE33-Y34)</f>
        <v>0</v>
      </c>
      <c r="AF35" s="200">
        <f>IF(AE34+AF33&lt;0,AF33,-AF33-AE34)</f>
        <v>0</v>
      </c>
      <c r="AG35" s="200">
        <f>IF(AF34+AG33&lt;0,AG33,-AG33-AF34)</f>
        <v>0</v>
      </c>
    </row>
    <row r="36" hidden="true" spans="4:33">
      <c r="D36" s="200">
        <f t="shared" ref="D36:Y36" si="16">IF(D35&gt;0,D35,0)</f>
        <v>0</v>
      </c>
      <c r="E36" s="200">
        <f t="shared" si="16"/>
        <v>0</v>
      </c>
      <c r="F36" s="200">
        <f t="shared" si="16"/>
        <v>0</v>
      </c>
      <c r="G36" s="200">
        <f t="shared" si="16"/>
        <v>0</v>
      </c>
      <c r="H36" s="200">
        <f t="shared" si="16"/>
        <v>0</v>
      </c>
      <c r="I36" s="200">
        <f t="shared" si="16"/>
        <v>0</v>
      </c>
      <c r="J36" s="200">
        <f t="shared" si="16"/>
        <v>0</v>
      </c>
      <c r="K36" s="200">
        <f t="shared" si="16"/>
        <v>0</v>
      </c>
      <c r="L36" s="200">
        <f t="shared" si="16"/>
        <v>0</v>
      </c>
      <c r="M36" s="200">
        <f t="shared" si="16"/>
        <v>0</v>
      </c>
      <c r="N36" s="200">
        <f t="shared" si="16"/>
        <v>0</v>
      </c>
      <c r="O36" s="200">
        <f t="shared" si="16"/>
        <v>0</v>
      </c>
      <c r="P36" s="200">
        <f t="shared" si="16"/>
        <v>0</v>
      </c>
      <c r="Q36" s="200">
        <f t="shared" si="16"/>
        <v>0</v>
      </c>
      <c r="R36" s="200">
        <f t="shared" si="16"/>
        <v>0</v>
      </c>
      <c r="S36" s="200">
        <f t="shared" si="16"/>
        <v>0</v>
      </c>
      <c r="T36" s="200">
        <f t="shared" si="16"/>
        <v>0</v>
      </c>
      <c r="U36" s="200">
        <f t="shared" si="16"/>
        <v>0</v>
      </c>
      <c r="V36" s="200">
        <f t="shared" si="16"/>
        <v>0</v>
      </c>
      <c r="W36" s="200">
        <f t="shared" si="16"/>
        <v>0</v>
      </c>
      <c r="X36" s="200">
        <f t="shared" si="16"/>
        <v>0</v>
      </c>
      <c r="Y36" s="200">
        <f t="shared" si="16"/>
        <v>0</v>
      </c>
      <c r="AE36" s="200">
        <f t="shared" ref="AE36:AG36" si="17">IF(AE35&gt;0,AE35,0)</f>
        <v>0</v>
      </c>
      <c r="AF36" s="200">
        <f t="shared" si="17"/>
        <v>0</v>
      </c>
      <c r="AG36" s="200">
        <f t="shared" si="17"/>
        <v>0</v>
      </c>
    </row>
    <row r="37" hidden="true" spans="5:7">
      <c r="E37" s="213"/>
      <c r="F37" s="213"/>
      <c r="G37" s="213"/>
    </row>
    <row r="38" hidden="true" spans="4:34">
      <c r="D38" s="213" t="e">
        <f>D9+年成本分析!D11+年成本分析!D18+年成本分析!D19</f>
        <v>#REF!</v>
      </c>
      <c r="E38" s="213" t="e">
        <f>E9+年成本分析!E11+年成本分析!E18+年成本分析!E19</f>
        <v>#REF!</v>
      </c>
      <c r="F38" s="213" t="e">
        <f>F9+年成本分析!F11+年成本分析!F18+年成本分析!F19</f>
        <v>#REF!</v>
      </c>
      <c r="G38" s="213" t="e">
        <f>G9+年成本分析!G11+年成本分析!G18+年成本分析!G19</f>
        <v>#REF!</v>
      </c>
      <c r="H38" s="213" t="e">
        <f>H9+年成本分析!H11+年成本分析!H18+年成本分析!H19</f>
        <v>#REF!</v>
      </c>
      <c r="I38" s="213" t="e">
        <f>I9+年成本分析!I11+年成本分析!I18+年成本分析!I19</f>
        <v>#REF!</v>
      </c>
      <c r="J38" s="213" t="e">
        <f>J9+年成本分析!J11+年成本分析!J18+年成本分析!J19</f>
        <v>#REF!</v>
      </c>
      <c r="K38" s="213" t="e">
        <f>K9+年成本分析!K11+年成本分析!K18+年成本分析!K19</f>
        <v>#REF!</v>
      </c>
      <c r="L38" s="213" t="e">
        <f>L9+年成本分析!L11+年成本分析!L18+年成本分析!L19</f>
        <v>#REF!</v>
      </c>
      <c r="M38" s="213" t="e">
        <f>M9+年成本分析!M11+年成本分析!M18+年成本分析!M19</f>
        <v>#REF!</v>
      </c>
      <c r="N38" s="213" t="e">
        <f>N9+年成本分析!N11+年成本分析!N18+年成本分析!N19</f>
        <v>#REF!</v>
      </c>
      <c r="O38" s="213" t="e">
        <f>O9+年成本分析!O11+年成本分析!O18+年成本分析!O19</f>
        <v>#REF!</v>
      </c>
      <c r="P38" s="213" t="e">
        <f>P9+年成本分析!P11+年成本分析!P18+年成本分析!P19</f>
        <v>#REF!</v>
      </c>
      <c r="Q38" s="213" t="e">
        <f>Q9+年成本分析!Q11+年成本分析!Q18+年成本分析!Q19</f>
        <v>#REF!</v>
      </c>
      <c r="R38" s="213" t="e">
        <f>R9+年成本分析!R11+年成本分析!R18+年成本分析!R19</f>
        <v>#REF!</v>
      </c>
      <c r="S38" s="213" t="e">
        <f>S9+年成本分析!S11+年成本分析!S18+年成本分析!S19</f>
        <v>#REF!</v>
      </c>
      <c r="T38" s="213" t="e">
        <f>T9+年成本分析!T11+年成本分析!T18+年成本分析!T19</f>
        <v>#REF!</v>
      </c>
      <c r="U38" s="213" t="e">
        <f>U9+年成本分析!U11+年成本分析!U18+年成本分析!U19</f>
        <v>#REF!</v>
      </c>
      <c r="V38" s="213" t="e">
        <f>V9+年成本分析!V11+年成本分析!V18+年成本分析!V19</f>
        <v>#REF!</v>
      </c>
      <c r="W38" s="213" t="e">
        <f>W9+年成本分析!W11+年成本分析!W18+年成本分析!W19</f>
        <v>#REF!</v>
      </c>
      <c r="X38" s="213" t="e">
        <f>X9+年成本分析!X11+年成本分析!X18+年成本分析!X19</f>
        <v>#REF!</v>
      </c>
      <c r="Y38" s="213" t="e">
        <f>Y9+年成本分析!Y11+年成本分析!Y18+年成本分析!Y19</f>
        <v>#REF!</v>
      </c>
      <c r="Z38" s="213"/>
      <c r="AA38" s="213"/>
      <c r="AB38" s="213"/>
      <c r="AC38" s="213"/>
      <c r="AD38" s="213"/>
      <c r="AE38" s="213">
        <f>AE9+年成本分析!AE11+年成本分析!AE18+年成本分析!AE19</f>
        <v>0</v>
      </c>
      <c r="AF38" s="213">
        <f>AF9+年成本分析!AF11+年成本分析!AF18+年成本分析!AF19</f>
        <v>0</v>
      </c>
      <c r="AG38" s="213">
        <f>AG9+年成本分析!AG11+年成本分析!AG18+年成本分析!AG19</f>
        <v>0</v>
      </c>
      <c r="AH38" s="213" t="e">
        <f>SUM(D38:AG38)</f>
        <v>#REF!</v>
      </c>
    </row>
    <row r="39" hidden="true" spans="34:34">
      <c r="AH39" s="230" t="e">
        <f>AH38/20</f>
        <v>#REF!</v>
      </c>
    </row>
    <row r="40" hidden="true" spans="34:34">
      <c r="AH40" s="230">
        <f>AH13/20</f>
        <v>0</v>
      </c>
    </row>
  </sheetData>
  <mergeCells count="12">
    <mergeCell ref="B1:AH1"/>
    <mergeCell ref="B2:AH2"/>
    <mergeCell ref="D3:AG3"/>
    <mergeCell ref="D19:E19"/>
    <mergeCell ref="I19:J19"/>
    <mergeCell ref="D20:E20"/>
    <mergeCell ref="D28:E28"/>
    <mergeCell ref="F28:G28"/>
    <mergeCell ref="H28:I28"/>
    <mergeCell ref="J28:K28"/>
    <mergeCell ref="L28:M28"/>
    <mergeCell ref="AH3:AH4"/>
  </mergeCells>
  <pageMargins left="0.78740157480315" right="0.15748031496063" top="1.44" bottom="0.236220472440945" header="1.06" footer="0.15748031496063"/>
  <pageSetup paperSize="9" scale="85" orientation="landscape"/>
  <headerFooter alignWithMargins="0">
    <oddHeader>&amp;R&amp;"Times New Roman,常规"&amp;14
&amp;"宋体,常规"          &amp;"Times New Roman,常规"&amp;12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0"/>
  <sheetViews>
    <sheetView showZeros="0" workbookViewId="0">
      <selection activeCell="AL17" sqref="AL17"/>
    </sheetView>
  </sheetViews>
  <sheetFormatPr defaultColWidth="10" defaultRowHeight="11.25"/>
  <cols>
    <col min="1" max="1" width="2.875" style="200" customWidth="true"/>
    <col min="2" max="2" width="4.25" style="201" customWidth="true"/>
    <col min="3" max="3" width="29.875" style="200" customWidth="true"/>
    <col min="4" max="10" width="6.5" style="200" customWidth="true"/>
    <col min="11" max="11" width="6.5" style="202" customWidth="true"/>
    <col min="12" max="13" width="7.5" style="200" customWidth="true"/>
    <col min="14" max="14" width="7.5" style="202" customWidth="true"/>
    <col min="15" max="16" width="7.375" style="200" customWidth="true"/>
    <col min="17" max="17" width="7.5" style="200" customWidth="true"/>
    <col min="18" max="18" width="7.5" style="200" hidden="true" customWidth="true"/>
    <col min="19" max="22" width="7.375" style="200" hidden="true" customWidth="true"/>
    <col min="23" max="23" width="7.875" style="200" hidden="true" customWidth="true"/>
    <col min="24" max="33" width="6.5" style="200" hidden="true" customWidth="true"/>
    <col min="34" max="34" width="7.875" style="200" customWidth="true"/>
    <col min="35" max="35" width="10" style="200" hidden="true" customWidth="true"/>
    <col min="36" max="16384" width="10" style="200"/>
  </cols>
  <sheetData>
    <row r="1" ht="32.25" customHeight="true" spans="2:34">
      <c r="B1" s="203" t="s">
        <v>703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spans="17:34">
      <c r="Q2" s="231"/>
      <c r="AH2" s="232" t="s">
        <v>617</v>
      </c>
    </row>
    <row r="3" ht="26.1" customHeight="true" spans="2:34">
      <c r="B3" s="125" t="s">
        <v>493</v>
      </c>
      <c r="C3" s="126" t="s">
        <v>618</v>
      </c>
      <c r="D3" s="41" t="s">
        <v>621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84"/>
      <c r="S3" s="184"/>
      <c r="T3" s="184"/>
      <c r="U3" s="184"/>
      <c r="V3" s="184"/>
      <c r="W3" s="184"/>
      <c r="X3" s="171"/>
      <c r="Y3" s="171"/>
      <c r="Z3" s="171"/>
      <c r="AA3" s="171"/>
      <c r="AB3" s="171"/>
      <c r="AC3" s="171"/>
      <c r="AD3" s="171"/>
      <c r="AE3" s="171"/>
      <c r="AF3" s="171"/>
      <c r="AG3" s="174"/>
      <c r="AH3" s="225" t="s">
        <v>305</v>
      </c>
    </row>
    <row r="4" ht="26.1" customHeight="true" spans="2:34">
      <c r="B4" s="127" t="s">
        <v>496</v>
      </c>
      <c r="C4" s="8" t="s">
        <v>475</v>
      </c>
      <c r="D4" s="145">
        <f>现金流量!J5</f>
        <v>3</v>
      </c>
      <c r="E4" s="145">
        <f t="shared" ref="E4:AG4" si="0">D4+1</f>
        <v>4</v>
      </c>
      <c r="F4" s="145">
        <f t="shared" si="0"/>
        <v>5</v>
      </c>
      <c r="G4" s="145">
        <f t="shared" si="0"/>
        <v>6</v>
      </c>
      <c r="H4" s="145">
        <f t="shared" si="0"/>
        <v>7</v>
      </c>
      <c r="I4" s="145">
        <f t="shared" si="0"/>
        <v>8</v>
      </c>
      <c r="J4" s="145">
        <f t="shared" si="0"/>
        <v>9</v>
      </c>
      <c r="K4" s="145">
        <f t="shared" si="0"/>
        <v>10</v>
      </c>
      <c r="L4" s="145">
        <f t="shared" si="0"/>
        <v>11</v>
      </c>
      <c r="M4" s="145">
        <f t="shared" si="0"/>
        <v>12</v>
      </c>
      <c r="N4" s="145">
        <f t="shared" si="0"/>
        <v>13</v>
      </c>
      <c r="O4" s="145">
        <f t="shared" si="0"/>
        <v>14</v>
      </c>
      <c r="P4" s="145">
        <f t="shared" si="0"/>
        <v>15</v>
      </c>
      <c r="Q4" s="145">
        <f t="shared" si="0"/>
        <v>16</v>
      </c>
      <c r="R4" s="145">
        <f t="shared" si="0"/>
        <v>17</v>
      </c>
      <c r="S4" s="145">
        <f t="shared" si="0"/>
        <v>18</v>
      </c>
      <c r="T4" s="145">
        <f t="shared" si="0"/>
        <v>19</v>
      </c>
      <c r="U4" s="145">
        <f t="shared" si="0"/>
        <v>20</v>
      </c>
      <c r="V4" s="145">
        <f t="shared" si="0"/>
        <v>21</v>
      </c>
      <c r="W4" s="145">
        <f t="shared" si="0"/>
        <v>22</v>
      </c>
      <c r="X4" s="145">
        <f t="shared" si="0"/>
        <v>23</v>
      </c>
      <c r="Y4" s="145">
        <f t="shared" si="0"/>
        <v>24</v>
      </c>
      <c r="Z4" s="145">
        <f t="shared" si="0"/>
        <v>25</v>
      </c>
      <c r="AA4" s="145">
        <f t="shared" si="0"/>
        <v>26</v>
      </c>
      <c r="AB4" s="145">
        <f t="shared" si="0"/>
        <v>27</v>
      </c>
      <c r="AC4" s="145">
        <f t="shared" si="0"/>
        <v>28</v>
      </c>
      <c r="AD4" s="145">
        <f t="shared" si="0"/>
        <v>29</v>
      </c>
      <c r="AE4" s="145">
        <f t="shared" si="0"/>
        <v>30</v>
      </c>
      <c r="AF4" s="145">
        <f t="shared" si="0"/>
        <v>31</v>
      </c>
      <c r="AG4" s="145">
        <f t="shared" si="0"/>
        <v>32</v>
      </c>
      <c r="AH4" s="225"/>
    </row>
    <row r="5" ht="26.1" customHeight="true" spans="2:35">
      <c r="B5" s="11">
        <v>1</v>
      </c>
      <c r="C5" s="15" t="s">
        <v>704</v>
      </c>
      <c r="D5" s="205" t="e">
        <f>成本!D29</f>
        <v>#REF!</v>
      </c>
      <c r="E5" s="205" t="e">
        <f t="shared" ref="E5:Q5" si="1">D7</f>
        <v>#REF!</v>
      </c>
      <c r="F5" s="205" t="e">
        <f t="shared" si="1"/>
        <v>#REF!</v>
      </c>
      <c r="G5" s="205" t="e">
        <f t="shared" si="1"/>
        <v>#REF!</v>
      </c>
      <c r="H5" s="205" t="e">
        <f t="shared" si="1"/>
        <v>#REF!</v>
      </c>
      <c r="I5" s="205" t="e">
        <f t="shared" si="1"/>
        <v>#REF!</v>
      </c>
      <c r="J5" s="205" t="e">
        <f t="shared" si="1"/>
        <v>#REF!</v>
      </c>
      <c r="K5" s="205" t="e">
        <f t="shared" si="1"/>
        <v>#REF!</v>
      </c>
      <c r="L5" s="205" t="e">
        <f t="shared" si="1"/>
        <v>#REF!</v>
      </c>
      <c r="M5" s="205" t="e">
        <f t="shared" si="1"/>
        <v>#REF!</v>
      </c>
      <c r="N5" s="205" t="e">
        <f t="shared" si="1"/>
        <v>#REF!</v>
      </c>
      <c r="O5" s="205" t="e">
        <f t="shared" si="1"/>
        <v>#REF!</v>
      </c>
      <c r="P5" s="205" t="e">
        <f t="shared" si="1"/>
        <v>#REF!</v>
      </c>
      <c r="Q5" s="205" t="e">
        <f t="shared" si="1"/>
        <v>#REF!</v>
      </c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0">
        <f>AH5/'总表 (2)'!D43</f>
        <v>0</v>
      </c>
    </row>
    <row r="6" ht="26.1" customHeight="true" spans="2:34">
      <c r="B6" s="11">
        <v>2</v>
      </c>
      <c r="C6" s="15" t="s">
        <v>602</v>
      </c>
      <c r="D6" s="205" t="e">
        <f>IF(D5&gt;0,MIN(成本!$D$51,D5),0)</f>
        <v>#REF!</v>
      </c>
      <c r="E6" s="205" t="e">
        <f>IF(E5&gt;0,MIN(成本!$D$51,E5),0)</f>
        <v>#REF!</v>
      </c>
      <c r="F6" s="205" t="e">
        <f>IF(F5&gt;0,MIN(成本!$D$51,F5),0)</f>
        <v>#REF!</v>
      </c>
      <c r="G6" s="205" t="e">
        <f>IF(G5&gt;0,MIN(成本!$D$51,G5),0)</f>
        <v>#REF!</v>
      </c>
      <c r="H6" s="205" t="e">
        <f>IF(H5&gt;0,MIN(成本!$D$51,H5),0)</f>
        <v>#REF!</v>
      </c>
      <c r="I6" s="205" t="e">
        <f>IF(I5&gt;0,MIN(成本!$D$51,I5),0)</f>
        <v>#REF!</v>
      </c>
      <c r="J6" s="205" t="e">
        <f>IF(J5&gt;0,MIN(成本!$D$51,J5),0)</f>
        <v>#REF!</v>
      </c>
      <c r="K6" s="205" t="e">
        <f>IF(K5&gt;0,MIN(成本!$D$51,K5),0)</f>
        <v>#REF!</v>
      </c>
      <c r="L6" s="205" t="e">
        <f>IF(L5&gt;0,MIN(成本!$D$51,L5),0)</f>
        <v>#REF!</v>
      </c>
      <c r="M6" s="205" t="e">
        <f>IF(M5&gt;0,MIN(成本!$D$51,M5),0)</f>
        <v>#REF!</v>
      </c>
      <c r="N6" s="205" t="e">
        <f>IF(N5&gt;0,MIN(成本!$D$51,N5),0)</f>
        <v>#REF!</v>
      </c>
      <c r="O6" s="205" t="e">
        <f>IF(O5&gt;0,MIN(成本!$D$51,O5),0)</f>
        <v>#REF!</v>
      </c>
      <c r="P6" s="205" t="e">
        <f>IF(P5&gt;0,MIN(成本!$D$51,P5),0)</f>
        <v>#REF!</v>
      </c>
      <c r="Q6" s="205" t="e">
        <f>IF(Q5&gt;0,MIN(成本!$D$51,Q5),0)</f>
        <v>#REF!</v>
      </c>
      <c r="R6" s="205">
        <f>IF(R5&gt;0,MIN(成本!$D$51,R5),0)</f>
        <v>0</v>
      </c>
      <c r="S6" s="205">
        <f>IF(S5&gt;0,MIN(成本!$D$51,S5),0)</f>
        <v>0</v>
      </c>
      <c r="T6" s="205">
        <f>IF(T5&gt;0,MIN(成本!$D$51,T5),0)</f>
        <v>0</v>
      </c>
      <c r="U6" s="205">
        <f>IF(U5&gt;0,MIN(成本!$D$51,U5),0)</f>
        <v>0</v>
      </c>
      <c r="V6" s="205">
        <f>IF(V5&gt;0,MIN(成本!$D$51,V5),0)</f>
        <v>0</v>
      </c>
      <c r="W6" s="205">
        <f>IF(W5&gt;0,MIN(成本!$D$51,W5),0)</f>
        <v>0</v>
      </c>
      <c r="X6" s="205">
        <f>IF(X5&gt;0,MIN(成本!$D$51,X5),0)</f>
        <v>0</v>
      </c>
      <c r="Y6" s="205">
        <f>IF(Y5&gt;0,MIN(成本!$D$51,Y5),0)</f>
        <v>0</v>
      </c>
      <c r="Z6" s="205">
        <f>IF(Z5&gt;0,MIN(成本!$D$51,Z5),0)</f>
        <v>0</v>
      </c>
      <c r="AA6" s="205">
        <f>IF(AA5&gt;0,MIN(成本!$D$51,AA5),0)</f>
        <v>0</v>
      </c>
      <c r="AB6" s="205">
        <f>IF(AB5&gt;0,MIN(成本!$D$51,AB5),0)</f>
        <v>0</v>
      </c>
      <c r="AC6" s="205">
        <f>IF(AC5&gt;0,MIN(成本!$D$51,AC5),0)</f>
        <v>0</v>
      </c>
      <c r="AD6" s="205">
        <f>IF(AD5&gt;0,MIN(成本!$D$51,AD5),0)</f>
        <v>0</v>
      </c>
      <c r="AE6" s="205">
        <f>IF(AE5&gt;0,MIN(成本!$D$51,AE5),0)</f>
        <v>0</v>
      </c>
      <c r="AF6" s="205">
        <f>IF(AF5&gt;0,MIN(成本!$D$51,AF5),0)</f>
        <v>0</v>
      </c>
      <c r="AG6" s="205">
        <f>IF(AG5&gt;0,MIN(成本!$D$51,AG5),0)</f>
        <v>0</v>
      </c>
      <c r="AH6" s="233" t="e">
        <f>SUM(D6:AG6)</f>
        <v>#REF!</v>
      </c>
    </row>
    <row r="7" ht="26.1" customHeight="true" spans="2:35">
      <c r="B7" s="11">
        <v>3</v>
      </c>
      <c r="C7" s="15" t="s">
        <v>705</v>
      </c>
      <c r="D7" s="205" t="e">
        <f t="shared" ref="D7:AG7" si="2">D5-D6</f>
        <v>#REF!</v>
      </c>
      <c r="E7" s="205" t="e">
        <f t="shared" si="2"/>
        <v>#REF!</v>
      </c>
      <c r="F7" s="205" t="e">
        <f t="shared" si="2"/>
        <v>#REF!</v>
      </c>
      <c r="G7" s="205" t="e">
        <f t="shared" si="2"/>
        <v>#REF!</v>
      </c>
      <c r="H7" s="205" t="e">
        <f t="shared" si="2"/>
        <v>#REF!</v>
      </c>
      <c r="I7" s="205" t="e">
        <f t="shared" si="2"/>
        <v>#REF!</v>
      </c>
      <c r="J7" s="205" t="e">
        <f t="shared" si="2"/>
        <v>#REF!</v>
      </c>
      <c r="K7" s="205" t="e">
        <f t="shared" si="2"/>
        <v>#REF!</v>
      </c>
      <c r="L7" s="205" t="e">
        <f t="shared" si="2"/>
        <v>#REF!</v>
      </c>
      <c r="M7" s="205" t="e">
        <f t="shared" si="2"/>
        <v>#REF!</v>
      </c>
      <c r="N7" s="205" t="e">
        <f t="shared" si="2"/>
        <v>#REF!</v>
      </c>
      <c r="O7" s="205" t="e">
        <f t="shared" si="2"/>
        <v>#REF!</v>
      </c>
      <c r="P7" s="205" t="e">
        <f t="shared" si="2"/>
        <v>#REF!</v>
      </c>
      <c r="Q7" s="205" t="e">
        <f t="shared" si="2"/>
        <v>#REF!</v>
      </c>
      <c r="R7" s="205">
        <f t="shared" si="2"/>
        <v>0</v>
      </c>
      <c r="S7" s="205">
        <f t="shared" si="2"/>
        <v>0</v>
      </c>
      <c r="T7" s="205">
        <f t="shared" si="2"/>
        <v>0</v>
      </c>
      <c r="U7" s="205">
        <f t="shared" si="2"/>
        <v>0</v>
      </c>
      <c r="V7" s="205">
        <f t="shared" si="2"/>
        <v>0</v>
      </c>
      <c r="W7" s="205">
        <f t="shared" si="2"/>
        <v>0</v>
      </c>
      <c r="X7" s="205">
        <f t="shared" si="2"/>
        <v>0</v>
      </c>
      <c r="Y7" s="205">
        <f t="shared" si="2"/>
        <v>0</v>
      </c>
      <c r="Z7" s="205">
        <f t="shared" si="2"/>
        <v>0</v>
      </c>
      <c r="AA7" s="205">
        <f t="shared" si="2"/>
        <v>0</v>
      </c>
      <c r="AB7" s="205">
        <f t="shared" si="2"/>
        <v>0</v>
      </c>
      <c r="AC7" s="205">
        <f t="shared" si="2"/>
        <v>0</v>
      </c>
      <c r="AD7" s="205">
        <f t="shared" si="2"/>
        <v>0</v>
      </c>
      <c r="AE7" s="205">
        <f t="shared" si="2"/>
        <v>0</v>
      </c>
      <c r="AF7" s="205">
        <f t="shared" si="2"/>
        <v>0</v>
      </c>
      <c r="AG7" s="205">
        <f t="shared" si="2"/>
        <v>0</v>
      </c>
      <c r="AH7" s="205"/>
      <c r="AI7" s="227"/>
    </row>
    <row r="8" ht="26.1" hidden="true" customHeight="true" spans="2:34">
      <c r="B8" s="11" t="s">
        <v>39</v>
      </c>
      <c r="C8" s="15" t="s">
        <v>639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>
        <f t="shared" ref="AH8:AH17" si="3">SUM(D8:AG8)</f>
        <v>0</v>
      </c>
    </row>
    <row r="9" ht="26.1" customHeight="true" spans="2:34">
      <c r="B9" s="11"/>
      <c r="C9" s="1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ht="26.1" customHeight="true" spans="1:34">
      <c r="A10" s="134"/>
      <c r="B10" s="11"/>
      <c r="C10" s="1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5"/>
    </row>
    <row r="11" ht="26.1" customHeight="true" spans="1:34">
      <c r="A11" s="134"/>
      <c r="B11" s="11"/>
      <c r="C11" s="1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5"/>
    </row>
    <row r="12" ht="26.1" customHeight="true" spans="2:34">
      <c r="B12" s="11"/>
      <c r="C12" s="1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>
        <f>IF(X11&lt;0,0,X11*'总表 (2)'!X53)</f>
        <v>0</v>
      </c>
      <c r="Y12" s="205">
        <f>IF(Y11&lt;0,0,Y11*'总表 (2)'!Y53)</f>
        <v>0</v>
      </c>
      <c r="Z12" s="205">
        <f>IF(Z11&lt;0,0,Z11*'总表 (2)'!Z53)</f>
        <v>0</v>
      </c>
      <c r="AA12" s="205">
        <f>IF(AA11&lt;0,0,AA11*'总表 (2)'!AA53)</f>
        <v>0</v>
      </c>
      <c r="AB12" s="205">
        <f>IF(AB11&lt;0,0,AB11*'总表 (2)'!AB53)</f>
        <v>0</v>
      </c>
      <c r="AC12" s="205">
        <f>IF(AC11&lt;0,0,AC11*'总表 (2)'!AC53)</f>
        <v>0</v>
      </c>
      <c r="AD12" s="205">
        <f>IF(AD11&lt;0,0,AD11*'总表 (2)'!AD53)</f>
        <v>0</v>
      </c>
      <c r="AE12" s="205">
        <f>IF(AE11&lt;0,0,AE11*'总表 (2)'!AE53)</f>
        <v>0</v>
      </c>
      <c r="AF12" s="205">
        <f>IF(AF11&lt;0,0,AF11*'总表 (2)'!AF53)</f>
        <v>0</v>
      </c>
      <c r="AG12" s="205">
        <f>IF(AG11&lt;0,0,AG11*'总表 (2)'!AG53)</f>
        <v>0</v>
      </c>
      <c r="AH12" s="205">
        <f t="shared" si="3"/>
        <v>0</v>
      </c>
    </row>
    <row r="13" ht="26.1" customHeight="true" spans="2:34">
      <c r="B13" s="11"/>
      <c r="C13" s="191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>
        <f t="shared" ref="X13:AG13" si="4">X9-X12</f>
        <v>0</v>
      </c>
      <c r="Y13" s="205">
        <f t="shared" si="4"/>
        <v>0</v>
      </c>
      <c r="Z13" s="205">
        <f t="shared" si="4"/>
        <v>0</v>
      </c>
      <c r="AA13" s="205">
        <f t="shared" si="4"/>
        <v>0</v>
      </c>
      <c r="AB13" s="205">
        <f t="shared" si="4"/>
        <v>0</v>
      </c>
      <c r="AC13" s="205">
        <f t="shared" si="4"/>
        <v>0</v>
      </c>
      <c r="AD13" s="205">
        <f t="shared" si="4"/>
        <v>0</v>
      </c>
      <c r="AE13" s="205">
        <f t="shared" si="4"/>
        <v>0</v>
      </c>
      <c r="AF13" s="205">
        <f t="shared" si="4"/>
        <v>0</v>
      </c>
      <c r="AG13" s="205">
        <f t="shared" si="4"/>
        <v>0</v>
      </c>
      <c r="AH13" s="205">
        <f t="shared" si="3"/>
        <v>0</v>
      </c>
    </row>
    <row r="14" ht="26.1" customHeight="true" spans="2:34">
      <c r="B14" s="11"/>
      <c r="C14" s="1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 t="e">
        <f>IF(借款偿还!AE6&gt;0,0,X13*10%)</f>
        <v>#REF!</v>
      </c>
      <c r="Y14" s="205" t="e">
        <f>IF(借款偿还!AF6&gt;0,0,Y13*10%)</f>
        <v>#REF!</v>
      </c>
      <c r="Z14" s="205" t="e">
        <f>IF(借款偿还!AG6&gt;0,0,Z13*10%)</f>
        <v>#REF!</v>
      </c>
      <c r="AA14" s="205" t="e">
        <f>IF(借款偿还!AH6&gt;0,0,AA13*10%)</f>
        <v>#REF!</v>
      </c>
      <c r="AB14" s="205" t="e">
        <f>IF(借款偿还!AI6&gt;0,0,AB13*10%)</f>
        <v>#REF!</v>
      </c>
      <c r="AC14" s="205" t="e">
        <f>IF(借款偿还!AJ6&gt;0,0,AC13*10%)</f>
        <v>#REF!</v>
      </c>
      <c r="AD14" s="205" t="e">
        <f>IF(借款偿还!AK6&gt;0,0,AD13*10%)</f>
        <v>#REF!</v>
      </c>
      <c r="AE14" s="205" t="e">
        <f>IF(借款偿还!AL6&gt;0,0,AE13*10%)</f>
        <v>#REF!</v>
      </c>
      <c r="AF14" s="205" t="e">
        <f>IF(借款偿还!AM6&gt;0,0,AF13*10%)</f>
        <v>#REF!</v>
      </c>
      <c r="AG14" s="205" t="e">
        <f>IF(借款偿还!AN6&gt;0,0,AG13*10%)</f>
        <v>#REF!</v>
      </c>
      <c r="AH14" s="205" t="e">
        <f t="shared" si="3"/>
        <v>#REF!</v>
      </c>
    </row>
    <row r="15" ht="26.1" hidden="true" customHeight="true" spans="2:34">
      <c r="B15" s="11"/>
      <c r="C15" s="1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 t="e">
        <f>IF(借款偿还!AE6&gt;0,0,X13*5%)</f>
        <v>#REF!</v>
      </c>
      <c r="Y15" s="205" t="e">
        <f>IF(借款偿还!AF6&gt;0,0,Y13*5%)</f>
        <v>#REF!</v>
      </c>
      <c r="Z15" s="205" t="e">
        <f>IF(借款偿还!AG6&gt;0,0,Z13*5%)</f>
        <v>#REF!</v>
      </c>
      <c r="AA15" s="205" t="e">
        <f>IF(借款偿还!AH6&gt;0,0,AA13*5%)</f>
        <v>#REF!</v>
      </c>
      <c r="AB15" s="205" t="e">
        <f>IF(借款偿还!AI6&gt;0,0,AB13*5%)</f>
        <v>#REF!</v>
      </c>
      <c r="AC15" s="205" t="e">
        <f>IF(借款偿还!AJ6&gt;0,0,AC13*5%)</f>
        <v>#REF!</v>
      </c>
      <c r="AD15" s="205" t="e">
        <f>IF(借款偿还!AK6&gt;0,0,AD13*5%)</f>
        <v>#REF!</v>
      </c>
      <c r="AE15" s="205" t="e">
        <f>IF(借款偿还!AL6&gt;0,0,AE13*5%)</f>
        <v>#REF!</v>
      </c>
      <c r="AF15" s="205" t="e">
        <f>IF(借款偿还!AM6&gt;0,0,AF13*5%)</f>
        <v>#REF!</v>
      </c>
      <c r="AG15" s="205" t="e">
        <f>IF(借款偿还!AN6&gt;0,0,AG13*5%)</f>
        <v>#REF!</v>
      </c>
      <c r="AH15" s="205" t="e">
        <f t="shared" si="3"/>
        <v>#REF!</v>
      </c>
    </row>
    <row r="16" ht="26.1" customHeight="true" spans="2:34">
      <c r="B16" s="11"/>
      <c r="C16" s="1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 t="e">
        <f>借款偿还!AE33</f>
        <v>#REF!</v>
      </c>
      <c r="Y16" s="205" t="e">
        <f>借款偿还!AF33</f>
        <v>#REF!</v>
      </c>
      <c r="Z16" s="205" t="e">
        <f>借款偿还!AG33</f>
        <v>#REF!</v>
      </c>
      <c r="AA16" s="205" t="e">
        <f>借款偿还!AH33</f>
        <v>#REF!</v>
      </c>
      <c r="AB16" s="205" t="e">
        <f>借款偿还!AI33</f>
        <v>#REF!</v>
      </c>
      <c r="AC16" s="205" t="e">
        <f>借款偿还!AJ33</f>
        <v>#REF!</v>
      </c>
      <c r="AD16" s="205" t="e">
        <f>借款偿还!AK33</f>
        <v>#REF!</v>
      </c>
      <c r="AE16" s="205" t="e">
        <f>借款偿还!AL33</f>
        <v>#REF!</v>
      </c>
      <c r="AF16" s="205" t="e">
        <f>借款偿还!AM33</f>
        <v>#REF!</v>
      </c>
      <c r="AG16" s="205" t="e">
        <f>借款偿还!AN33</f>
        <v>#REF!</v>
      </c>
      <c r="AH16" s="205" t="e">
        <f t="shared" si="3"/>
        <v>#REF!</v>
      </c>
    </row>
    <row r="17" ht="26.1" customHeight="true" spans="2:34">
      <c r="B17" s="11"/>
      <c r="C17" s="1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 t="e">
        <f t="shared" ref="X17:AG17" si="5">ROUND(X13-X14-X15-X16,2)</f>
        <v>#REF!</v>
      </c>
      <c r="Y17" s="205" t="e">
        <f t="shared" si="5"/>
        <v>#REF!</v>
      </c>
      <c r="Z17" s="205" t="e">
        <f t="shared" si="5"/>
        <v>#REF!</v>
      </c>
      <c r="AA17" s="205" t="e">
        <f t="shared" si="5"/>
        <v>#REF!</v>
      </c>
      <c r="AB17" s="205" t="e">
        <f t="shared" si="5"/>
        <v>#REF!</v>
      </c>
      <c r="AC17" s="205" t="e">
        <f t="shared" si="5"/>
        <v>#REF!</v>
      </c>
      <c r="AD17" s="205" t="e">
        <f t="shared" si="5"/>
        <v>#REF!</v>
      </c>
      <c r="AE17" s="205" t="e">
        <f t="shared" si="5"/>
        <v>#REF!</v>
      </c>
      <c r="AF17" s="205" t="e">
        <f t="shared" si="5"/>
        <v>#REF!</v>
      </c>
      <c r="AG17" s="205" t="e">
        <f t="shared" si="5"/>
        <v>#REF!</v>
      </c>
      <c r="AH17" s="205" t="e">
        <f t="shared" si="3"/>
        <v>#REF!</v>
      </c>
    </row>
    <row r="18" ht="26.1" customHeight="true" spans="2:34">
      <c r="B18" s="11"/>
      <c r="C18" s="1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 t="e">
        <f t="shared" ref="X18:AG18" si="6">IF(X4&gt;zq,0,W18+X17)</f>
        <v>#REF!</v>
      </c>
      <c r="Y18" s="205" t="e">
        <f t="shared" si="6"/>
        <v>#REF!</v>
      </c>
      <c r="Z18" s="205" t="e">
        <f t="shared" si="6"/>
        <v>#REF!</v>
      </c>
      <c r="AA18" s="205" t="e">
        <f t="shared" si="6"/>
        <v>#REF!</v>
      </c>
      <c r="AB18" s="205" t="e">
        <f t="shared" si="6"/>
        <v>#REF!</v>
      </c>
      <c r="AC18" s="205">
        <f t="shared" si="6"/>
        <v>0</v>
      </c>
      <c r="AD18" s="205">
        <f t="shared" si="6"/>
        <v>0</v>
      </c>
      <c r="AE18" s="205">
        <f t="shared" si="6"/>
        <v>0</v>
      </c>
      <c r="AF18" s="205">
        <f t="shared" si="6"/>
        <v>0</v>
      </c>
      <c r="AG18" s="205">
        <f t="shared" si="6"/>
        <v>0</v>
      </c>
      <c r="AH18" s="205"/>
    </row>
    <row r="19" s="1" customFormat="true" ht="14.25" hidden="true" spans="2:34">
      <c r="B19" s="207"/>
      <c r="C19" s="208" t="s">
        <v>693</v>
      </c>
      <c r="D19" s="209" t="e">
        <f>(AH9/20)/(#REF!+成本!G61)</f>
        <v>#REF!</v>
      </c>
      <c r="E19" s="209"/>
      <c r="H19" s="208" t="s">
        <v>694</v>
      </c>
      <c r="I19" s="209" t="e">
        <f ca="1">(AH9/20)/SUM(资金来源运用!G14:资金来源运用!J14)</f>
        <v>#REF!</v>
      </c>
      <c r="J19" s="209"/>
      <c r="AH19" s="228"/>
    </row>
    <row r="20" s="1" customFormat="true" ht="15" hidden="true" spans="2:34">
      <c r="B20" s="210"/>
      <c r="C20" s="211" t="s">
        <v>695</v>
      </c>
      <c r="D20" s="212" t="e">
        <f>(AH5-AH6)/20/(#REF!+成本!G61)</f>
        <v>#REF!</v>
      </c>
      <c r="E20" s="212"/>
      <c r="F20" s="217"/>
      <c r="G20" s="217"/>
      <c r="H20" s="211"/>
      <c r="I20" s="220"/>
      <c r="J20" s="220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29"/>
    </row>
    <row r="21" hidden="true" spans="3:33">
      <c r="C21" s="200" t="s">
        <v>653</v>
      </c>
      <c r="D21" s="213" t="e">
        <f>IF(D11&lt;0,0,(D11+年成本分析!D11)*'总表 (2)'!D53)</f>
        <v>#REF!</v>
      </c>
      <c r="E21" s="213" t="e">
        <f>IF(E11&lt;0,0,(E11+年成本分析!E11)*'总表 (2)'!E53)</f>
        <v>#REF!</v>
      </c>
      <c r="F21" s="213" t="e">
        <f>IF(F11&lt;0,0,(F11+年成本分析!F11)*'总表 (2)'!F53)</f>
        <v>#REF!</v>
      </c>
      <c r="G21" s="213" t="e">
        <f>IF(G11&lt;0,0,(G11+年成本分析!G11)*'总表 (2)'!G53)</f>
        <v>#REF!</v>
      </c>
      <c r="H21" s="213" t="e">
        <f>IF(H11&lt;0,0,(H11+年成本分析!H11)*'总表 (2)'!H53)</f>
        <v>#REF!</v>
      </c>
      <c r="I21" s="213" t="e">
        <f>IF(I11&lt;0,0,(I11+年成本分析!I11)*'总表 (2)'!I53)</f>
        <v>#REF!</v>
      </c>
      <c r="J21" s="213" t="e">
        <f>IF(J11&lt;0,0,(J11+年成本分析!J11)*'总表 (2)'!J53)</f>
        <v>#REF!</v>
      </c>
      <c r="K21" s="213" t="e">
        <f>IF(K11&lt;0,0,(K11+年成本分析!K11)*'总表 (2)'!K53)</f>
        <v>#REF!</v>
      </c>
      <c r="L21" s="213" t="e">
        <f>IF(L11&lt;0,0,(L11+年成本分析!L11)*'总表 (2)'!L53)</f>
        <v>#REF!</v>
      </c>
      <c r="M21" s="213" t="e">
        <f>IF(M11&lt;0,0,(M11+年成本分析!M11)*'总表 (2)'!M53)</f>
        <v>#REF!</v>
      </c>
      <c r="N21" s="213" t="e">
        <f>IF(N11&lt;0,0,(N11+年成本分析!N11)*'总表 (2)'!N53)</f>
        <v>#REF!</v>
      </c>
      <c r="O21" s="213" t="e">
        <f>IF(O11&lt;0,0,(O11+年成本分析!O11)*'总表 (2)'!O53)</f>
        <v>#REF!</v>
      </c>
      <c r="P21" s="213" t="e">
        <f>IF(P11&lt;0,0,(P11+年成本分析!P11)*'总表 (2)'!P53)</f>
        <v>#REF!</v>
      </c>
      <c r="Q21" s="213" t="e">
        <f>IF(Q11&lt;0,0,(Q11+年成本分析!Q11)*'总表 (2)'!Q53)</f>
        <v>#REF!</v>
      </c>
      <c r="R21" s="213" t="e">
        <f>IF(R11&lt;0,0,(R11+年成本分析!R11)*'总表 (2)'!R53)</f>
        <v>#REF!</v>
      </c>
      <c r="S21" s="213" t="e">
        <f>IF(S11&lt;0,0,(S11+年成本分析!S11)*'总表 (2)'!S53)</f>
        <v>#REF!</v>
      </c>
      <c r="T21" s="213" t="e">
        <f>IF(T11&lt;0,0,(T11+年成本分析!T11)*'总表 (2)'!T53)</f>
        <v>#REF!</v>
      </c>
      <c r="U21" s="213" t="e">
        <f>IF(U11&lt;0,0,(U11+年成本分析!U11)*'总表 (2)'!U53)</f>
        <v>#REF!</v>
      </c>
      <c r="V21" s="213">
        <f>IF(V11&lt;0,0,(V11+年成本分析!V11)*'总表 (2)'!V53)</f>
        <v>0</v>
      </c>
      <c r="W21" s="213">
        <f>IF(W11&lt;0,0,(W11+年成本分析!W11)*'总表 (2)'!W53)</f>
        <v>0</v>
      </c>
      <c r="X21" s="213">
        <f>IF(X11&lt;0,0,(X11+年成本分析!X11)*'总表 (2)'!X53)</f>
        <v>0</v>
      </c>
      <c r="Y21" s="213">
        <f>IF(Y11&lt;0,0,(Y11+年成本分析!Y11)*'总表 (2)'!Y53)</f>
        <v>0</v>
      </c>
      <c r="Z21" s="213">
        <f>IF(Z11&lt;0,0,(Z11+年成本分析!Z11)*'总表 (2)'!Z53)</f>
        <v>0</v>
      </c>
      <c r="AA21" s="213">
        <f>IF(AA11&lt;0,0,(AA11+年成本分析!AA11)*'总表 (2)'!AA53)</f>
        <v>0</v>
      </c>
      <c r="AB21" s="213">
        <f>IF(AB11&lt;0,0,(AB11+年成本分析!AB11)*'总表 (2)'!AB53)</f>
        <v>0</v>
      </c>
      <c r="AC21" s="213">
        <f>IF(AC11&lt;0,0,(AC11+年成本分析!AC11)*'总表 (2)'!AC53)</f>
        <v>0</v>
      </c>
      <c r="AD21" s="213">
        <f>IF(AD11&lt;0,0,(AD11+年成本分析!AD11)*'总表 (2)'!AD53)</f>
        <v>0</v>
      </c>
      <c r="AE21" s="213">
        <f>IF(AE11&lt;0,0,(AE11+年成本分析!AE11)*'总表 (2)'!AE53)</f>
        <v>0</v>
      </c>
      <c r="AF21" s="213">
        <f>IF(AF11&lt;0,0,(AF11+年成本分析!AF11)*'总表 (2)'!AF53)</f>
        <v>0</v>
      </c>
      <c r="AG21" s="213">
        <f>IF(AG11&lt;0,0,(AG11+年成本分析!AG11)*'总表 (2)'!AG53)</f>
        <v>0</v>
      </c>
    </row>
    <row r="22" s="1" customFormat="true" ht="14.25" hidden="true" spans="2:14">
      <c r="B22" s="214"/>
      <c r="C22" s="215" t="s">
        <v>696</v>
      </c>
      <c r="E22" s="218">
        <f>'总表 (2)'!D49</f>
        <v>4.56</v>
      </c>
      <c r="F22" s="208" t="s">
        <v>697</v>
      </c>
      <c r="K22" s="221"/>
      <c r="M22" s="223"/>
      <c r="N22" s="221"/>
    </row>
    <row r="23" s="1" customFormat="true" ht="14.25" spans="2:14">
      <c r="B23" s="214"/>
      <c r="K23" s="221"/>
      <c r="N23" s="221"/>
    </row>
    <row r="24" hidden="true" spans="4:23">
      <c r="D24" s="200">
        <f t="shared" ref="D24:W24" si="7">IF(D9-D10&gt;0,1,0)</f>
        <v>0</v>
      </c>
      <c r="E24" s="200">
        <f t="shared" si="7"/>
        <v>0</v>
      </c>
      <c r="F24" s="200">
        <f t="shared" si="7"/>
        <v>0</v>
      </c>
      <c r="G24" s="200">
        <f t="shared" si="7"/>
        <v>0</v>
      </c>
      <c r="H24" s="200">
        <f t="shared" si="7"/>
        <v>0</v>
      </c>
      <c r="I24" s="200">
        <f t="shared" si="7"/>
        <v>0</v>
      </c>
      <c r="J24" s="200">
        <f t="shared" si="7"/>
        <v>0</v>
      </c>
      <c r="K24" s="200">
        <f t="shared" si="7"/>
        <v>0</v>
      </c>
      <c r="L24" s="200">
        <f t="shared" si="7"/>
        <v>0</v>
      </c>
      <c r="M24" s="200">
        <f t="shared" si="7"/>
        <v>0</v>
      </c>
      <c r="N24" s="200">
        <f t="shared" si="7"/>
        <v>0</v>
      </c>
      <c r="O24" s="200">
        <f t="shared" si="7"/>
        <v>0</v>
      </c>
      <c r="P24" s="200">
        <f t="shared" si="7"/>
        <v>0</v>
      </c>
      <c r="Q24" s="200">
        <f t="shared" si="7"/>
        <v>0</v>
      </c>
      <c r="R24" s="200">
        <f t="shared" si="7"/>
        <v>0</v>
      </c>
      <c r="S24" s="200">
        <f t="shared" si="7"/>
        <v>0</v>
      </c>
      <c r="T24" s="200">
        <f t="shared" si="7"/>
        <v>0</v>
      </c>
      <c r="U24" s="200">
        <f t="shared" si="7"/>
        <v>0</v>
      </c>
      <c r="V24" s="200">
        <f t="shared" si="7"/>
        <v>0</v>
      </c>
      <c r="W24" s="200">
        <f t="shared" si="7"/>
        <v>0</v>
      </c>
    </row>
    <row r="25" hidden="true" spans="4:23">
      <c r="D25" s="200">
        <f>D24</f>
        <v>0</v>
      </c>
      <c r="E25" s="200">
        <f t="shared" ref="E25:W25" si="8">E24+D25</f>
        <v>0</v>
      </c>
      <c r="F25" s="200">
        <f t="shared" si="8"/>
        <v>0</v>
      </c>
      <c r="G25" s="200">
        <f t="shared" si="8"/>
        <v>0</v>
      </c>
      <c r="H25" s="200">
        <f t="shared" si="8"/>
        <v>0</v>
      </c>
      <c r="I25" s="200">
        <f t="shared" si="8"/>
        <v>0</v>
      </c>
      <c r="J25" s="200">
        <f t="shared" si="8"/>
        <v>0</v>
      </c>
      <c r="K25" s="200">
        <f t="shared" si="8"/>
        <v>0</v>
      </c>
      <c r="L25" s="200">
        <f t="shared" si="8"/>
        <v>0</v>
      </c>
      <c r="M25" s="200">
        <f t="shared" si="8"/>
        <v>0</v>
      </c>
      <c r="N25" s="200">
        <f t="shared" si="8"/>
        <v>0</v>
      </c>
      <c r="O25" s="200">
        <f t="shared" si="8"/>
        <v>0</v>
      </c>
      <c r="P25" s="200">
        <f t="shared" si="8"/>
        <v>0</v>
      </c>
      <c r="Q25" s="200">
        <f t="shared" si="8"/>
        <v>0</v>
      </c>
      <c r="R25" s="200">
        <f t="shared" si="8"/>
        <v>0</v>
      </c>
      <c r="S25" s="200">
        <f t="shared" si="8"/>
        <v>0</v>
      </c>
      <c r="T25" s="200">
        <f t="shared" si="8"/>
        <v>0</v>
      </c>
      <c r="U25" s="200">
        <f t="shared" si="8"/>
        <v>0</v>
      </c>
      <c r="V25" s="200">
        <f t="shared" si="8"/>
        <v>0</v>
      </c>
      <c r="W25" s="200">
        <f t="shared" si="8"/>
        <v>0</v>
      </c>
    </row>
    <row r="26" hidden="true" spans="4:33">
      <c r="D26" s="200">
        <f t="shared" ref="D26:W26" si="9">IF(D25=0,0,IF(D25&lt;=1,$D$27,IF(D25&lt;=5,$E$27,$F$27)))</f>
        <v>0</v>
      </c>
      <c r="E26" s="200">
        <f t="shared" si="9"/>
        <v>0</v>
      </c>
      <c r="F26" s="200">
        <f t="shared" si="9"/>
        <v>0</v>
      </c>
      <c r="G26" s="200">
        <f t="shared" si="9"/>
        <v>0</v>
      </c>
      <c r="H26" s="200">
        <f t="shared" si="9"/>
        <v>0</v>
      </c>
      <c r="I26" s="200">
        <f t="shared" si="9"/>
        <v>0</v>
      </c>
      <c r="J26" s="200">
        <f t="shared" si="9"/>
        <v>0</v>
      </c>
      <c r="K26" s="200">
        <f t="shared" si="9"/>
        <v>0</v>
      </c>
      <c r="L26" s="200">
        <f t="shared" si="9"/>
        <v>0</v>
      </c>
      <c r="M26" s="200">
        <f t="shared" si="9"/>
        <v>0</v>
      </c>
      <c r="N26" s="200">
        <f t="shared" si="9"/>
        <v>0</v>
      </c>
      <c r="O26" s="200">
        <f t="shared" si="9"/>
        <v>0</v>
      </c>
      <c r="P26" s="200">
        <f t="shared" si="9"/>
        <v>0</v>
      </c>
      <c r="Q26" s="200">
        <f t="shared" si="9"/>
        <v>0</v>
      </c>
      <c r="R26" s="200">
        <f t="shared" si="9"/>
        <v>0</v>
      </c>
      <c r="S26" s="200">
        <f t="shared" si="9"/>
        <v>0</v>
      </c>
      <c r="T26" s="200">
        <f t="shared" si="9"/>
        <v>0</v>
      </c>
      <c r="U26" s="200">
        <f t="shared" si="9"/>
        <v>0</v>
      </c>
      <c r="V26" s="200">
        <f t="shared" si="9"/>
        <v>0</v>
      </c>
      <c r="W26" s="200">
        <f t="shared" si="9"/>
        <v>0</v>
      </c>
      <c r="X26" s="200">
        <f>IF(X25=0,0,IF(X25&lt;=2,0,IF(X25&lt;=5,0.5,1)))</f>
        <v>0</v>
      </c>
      <c r="Y26" s="200">
        <f>IF(Y25=0,0,IF(Y25&lt;=2,0,IF(Y25&lt;=5,0.5,1)))</f>
        <v>0</v>
      </c>
      <c r="AE26" s="200">
        <f t="shared" ref="AE26:AG26" si="10">IF(AE25=0,0,IF(AE25&lt;=2,0,IF(AE25&lt;=5,0.5,1)))</f>
        <v>0</v>
      </c>
      <c r="AF26" s="200">
        <f t="shared" si="10"/>
        <v>0</v>
      </c>
      <c r="AG26" s="200">
        <f t="shared" si="10"/>
        <v>0</v>
      </c>
    </row>
    <row r="27" hidden="true" spans="4:6">
      <c r="D27" s="200">
        <v>0</v>
      </c>
      <c r="E27" s="200">
        <v>1</v>
      </c>
      <c r="F27" s="200">
        <v>1</v>
      </c>
    </row>
    <row r="28" hidden="true" spans="4:14">
      <c r="D28" s="216" t="e">
        <f>AH17+AH14+AH15</f>
        <v>#REF!</v>
      </c>
      <c r="E28" s="216"/>
      <c r="F28" s="219" t="e">
        <f>SUM(借款偿还!K26:Z26)</f>
        <v>#REF!</v>
      </c>
      <c r="G28" s="219"/>
      <c r="H28" s="216" t="e">
        <f>D28-F28</f>
        <v>#REF!</v>
      </c>
      <c r="I28" s="216"/>
      <c r="J28" s="219" t="e">
        <f>H28/20</f>
        <v>#REF!</v>
      </c>
      <c r="K28" s="219"/>
      <c r="L28" s="222" t="e">
        <f ca="1">J28/SUM(资金来源运用!G14:资金来源运用!J14)</f>
        <v>#REF!</v>
      </c>
      <c r="M28" s="222"/>
      <c r="N28" s="224" t="e">
        <f ca="1">D28/20/SUM(资金来源运用!G14:资金来源运用!J14)</f>
        <v>#REF!</v>
      </c>
    </row>
    <row r="29" ht="14.25" hidden="true" spans="3:4">
      <c r="C29" s="208" t="s">
        <v>698</v>
      </c>
      <c r="D29" s="1">
        <f>E22*0.8*0.8</f>
        <v>2.9184</v>
      </c>
    </row>
    <row r="30" hidden="true"/>
    <row r="31" hidden="true" spans="4:33">
      <c r="D31" s="213">
        <f>D10</f>
        <v>0</v>
      </c>
      <c r="E31" s="213">
        <f t="shared" ref="E31:W31" si="11">D31+E10</f>
        <v>0</v>
      </c>
      <c r="F31" s="213">
        <f t="shared" si="11"/>
        <v>0</v>
      </c>
      <c r="G31" s="213">
        <f t="shared" si="11"/>
        <v>0</v>
      </c>
      <c r="H31" s="213">
        <f t="shared" si="11"/>
        <v>0</v>
      </c>
      <c r="I31" s="213">
        <f t="shared" si="11"/>
        <v>0</v>
      </c>
      <c r="J31" s="213">
        <f t="shared" si="11"/>
        <v>0</v>
      </c>
      <c r="K31" s="213">
        <f t="shared" si="11"/>
        <v>0</v>
      </c>
      <c r="L31" s="213">
        <f t="shared" si="11"/>
        <v>0</v>
      </c>
      <c r="M31" s="213">
        <f t="shared" si="11"/>
        <v>0</v>
      </c>
      <c r="N31" s="213">
        <f t="shared" si="11"/>
        <v>0</v>
      </c>
      <c r="O31" s="213">
        <f t="shared" si="11"/>
        <v>0</v>
      </c>
      <c r="P31" s="213">
        <f t="shared" si="11"/>
        <v>0</v>
      </c>
      <c r="Q31" s="213">
        <f t="shared" si="11"/>
        <v>0</v>
      </c>
      <c r="R31" s="213">
        <f t="shared" si="11"/>
        <v>0</v>
      </c>
      <c r="S31" s="213">
        <f t="shared" si="11"/>
        <v>0</v>
      </c>
      <c r="T31" s="213">
        <f t="shared" si="11"/>
        <v>0</v>
      </c>
      <c r="U31" s="213">
        <f t="shared" si="11"/>
        <v>0</v>
      </c>
      <c r="V31" s="213">
        <f t="shared" si="11"/>
        <v>0</v>
      </c>
      <c r="W31" s="213">
        <f t="shared" si="11"/>
        <v>0</v>
      </c>
      <c r="X31" s="213">
        <f>W10+X10</f>
        <v>0</v>
      </c>
      <c r="Y31" s="213">
        <f>X10+Y10</f>
        <v>0</v>
      </c>
      <c r="Z31" s="213"/>
      <c r="AA31" s="213"/>
      <c r="AB31" s="213"/>
      <c r="AC31" s="213"/>
      <c r="AD31" s="213"/>
      <c r="AE31" s="213">
        <f>Y10+AE10</f>
        <v>0</v>
      </c>
      <c r="AF31" s="213">
        <f>AE10+AF10</f>
        <v>0</v>
      </c>
      <c r="AG31" s="213">
        <f>AF10+AG10</f>
        <v>0</v>
      </c>
    </row>
    <row r="32" hidden="true" spans="4:34">
      <c r="D32" s="200">
        <f t="shared" ref="D32:W32" si="12">IF(D9&lt;0,D9,0)</f>
        <v>0</v>
      </c>
      <c r="E32" s="200">
        <f t="shared" si="12"/>
        <v>0</v>
      </c>
      <c r="F32" s="200">
        <f t="shared" si="12"/>
        <v>0</v>
      </c>
      <c r="G32" s="200">
        <f t="shared" si="12"/>
        <v>0</v>
      </c>
      <c r="H32" s="200">
        <f t="shared" si="12"/>
        <v>0</v>
      </c>
      <c r="I32" s="200">
        <f t="shared" si="12"/>
        <v>0</v>
      </c>
      <c r="J32" s="200">
        <f t="shared" si="12"/>
        <v>0</v>
      </c>
      <c r="K32" s="200">
        <f t="shared" si="12"/>
        <v>0</v>
      </c>
      <c r="L32" s="200">
        <f t="shared" si="12"/>
        <v>0</v>
      </c>
      <c r="M32" s="200">
        <f t="shared" si="12"/>
        <v>0</v>
      </c>
      <c r="N32" s="200">
        <f t="shared" si="12"/>
        <v>0</v>
      </c>
      <c r="O32" s="200">
        <f t="shared" si="12"/>
        <v>0</v>
      </c>
      <c r="P32" s="200">
        <f t="shared" si="12"/>
        <v>0</v>
      </c>
      <c r="Q32" s="200">
        <f t="shared" si="12"/>
        <v>0</v>
      </c>
      <c r="R32" s="200">
        <f t="shared" si="12"/>
        <v>0</v>
      </c>
      <c r="S32" s="200">
        <f t="shared" si="12"/>
        <v>0</v>
      </c>
      <c r="T32" s="200">
        <f t="shared" si="12"/>
        <v>0</v>
      </c>
      <c r="U32" s="200">
        <f t="shared" si="12"/>
        <v>0</v>
      </c>
      <c r="V32" s="200">
        <f t="shared" si="12"/>
        <v>0</v>
      </c>
      <c r="W32" s="200">
        <f t="shared" si="12"/>
        <v>0</v>
      </c>
      <c r="AH32" s="200">
        <f>SUM(D32:W32)</f>
        <v>0</v>
      </c>
    </row>
    <row r="33" hidden="true" spans="4:23">
      <c r="D33" s="200">
        <f t="shared" ref="D33:W33" si="13">IF(D9&lt;0,0,D9)</f>
        <v>0</v>
      </c>
      <c r="E33" s="200">
        <f t="shared" si="13"/>
        <v>0</v>
      </c>
      <c r="F33" s="200">
        <f t="shared" si="13"/>
        <v>0</v>
      </c>
      <c r="G33" s="200">
        <f t="shared" si="13"/>
        <v>0</v>
      </c>
      <c r="H33" s="200">
        <f t="shared" si="13"/>
        <v>0</v>
      </c>
      <c r="I33" s="200">
        <f t="shared" si="13"/>
        <v>0</v>
      </c>
      <c r="J33" s="200">
        <f t="shared" si="13"/>
        <v>0</v>
      </c>
      <c r="K33" s="200">
        <f t="shared" si="13"/>
        <v>0</v>
      </c>
      <c r="L33" s="200">
        <f t="shared" si="13"/>
        <v>0</v>
      </c>
      <c r="M33" s="200">
        <f t="shared" si="13"/>
        <v>0</v>
      </c>
      <c r="N33" s="200">
        <f t="shared" si="13"/>
        <v>0</v>
      </c>
      <c r="O33" s="200">
        <f t="shared" si="13"/>
        <v>0</v>
      </c>
      <c r="P33" s="200">
        <f t="shared" si="13"/>
        <v>0</v>
      </c>
      <c r="Q33" s="200">
        <f t="shared" si="13"/>
        <v>0</v>
      </c>
      <c r="R33" s="200">
        <f t="shared" si="13"/>
        <v>0</v>
      </c>
      <c r="S33" s="200">
        <f t="shared" si="13"/>
        <v>0</v>
      </c>
      <c r="T33" s="200">
        <f t="shared" si="13"/>
        <v>0</v>
      </c>
      <c r="U33" s="200">
        <f t="shared" si="13"/>
        <v>0</v>
      </c>
      <c r="V33" s="200">
        <f t="shared" si="13"/>
        <v>0</v>
      </c>
      <c r="W33" s="200">
        <f t="shared" si="13"/>
        <v>0</v>
      </c>
    </row>
    <row r="34" hidden="true" spans="4:23">
      <c r="D34" s="213">
        <f t="shared" ref="D34:W34" si="14">D31+$AH$32</f>
        <v>0</v>
      </c>
      <c r="E34" s="213">
        <f t="shared" si="14"/>
        <v>0</v>
      </c>
      <c r="F34" s="213">
        <f t="shared" si="14"/>
        <v>0</v>
      </c>
      <c r="G34" s="213">
        <f t="shared" si="14"/>
        <v>0</v>
      </c>
      <c r="H34" s="213">
        <f t="shared" si="14"/>
        <v>0</v>
      </c>
      <c r="I34" s="213">
        <f t="shared" si="14"/>
        <v>0</v>
      </c>
      <c r="J34" s="213">
        <f t="shared" si="14"/>
        <v>0</v>
      </c>
      <c r="K34" s="213">
        <f t="shared" si="14"/>
        <v>0</v>
      </c>
      <c r="L34" s="213">
        <f t="shared" si="14"/>
        <v>0</v>
      </c>
      <c r="M34" s="213">
        <f t="shared" si="14"/>
        <v>0</v>
      </c>
      <c r="N34" s="213">
        <f t="shared" si="14"/>
        <v>0</v>
      </c>
      <c r="O34" s="213">
        <f t="shared" si="14"/>
        <v>0</v>
      </c>
      <c r="P34" s="213">
        <f t="shared" si="14"/>
        <v>0</v>
      </c>
      <c r="Q34" s="213">
        <f t="shared" si="14"/>
        <v>0</v>
      </c>
      <c r="R34" s="213">
        <f t="shared" si="14"/>
        <v>0</v>
      </c>
      <c r="S34" s="213">
        <f t="shared" si="14"/>
        <v>0</v>
      </c>
      <c r="T34" s="213">
        <f t="shared" si="14"/>
        <v>0</v>
      </c>
      <c r="U34" s="213">
        <f t="shared" si="14"/>
        <v>0</v>
      </c>
      <c r="V34" s="213">
        <f t="shared" si="14"/>
        <v>0</v>
      </c>
      <c r="W34" s="213">
        <f t="shared" si="14"/>
        <v>0</v>
      </c>
    </row>
    <row r="35" hidden="true" spans="4:33">
      <c r="D35" s="200">
        <f t="shared" ref="D35:W35" si="15">IF(C34+D33&lt;0,D33,-C34)</f>
        <v>0</v>
      </c>
      <c r="E35" s="200">
        <f t="shared" si="15"/>
        <v>0</v>
      </c>
      <c r="F35" s="200">
        <f t="shared" si="15"/>
        <v>0</v>
      </c>
      <c r="G35" s="200">
        <f t="shared" si="15"/>
        <v>0</v>
      </c>
      <c r="H35" s="200">
        <f t="shared" si="15"/>
        <v>0</v>
      </c>
      <c r="I35" s="200">
        <f t="shared" si="15"/>
        <v>0</v>
      </c>
      <c r="J35" s="200">
        <f t="shared" si="15"/>
        <v>0</v>
      </c>
      <c r="K35" s="200">
        <f t="shared" si="15"/>
        <v>0</v>
      </c>
      <c r="L35" s="200">
        <f t="shared" si="15"/>
        <v>0</v>
      </c>
      <c r="M35" s="200">
        <f t="shared" si="15"/>
        <v>0</v>
      </c>
      <c r="N35" s="200">
        <f t="shared" si="15"/>
        <v>0</v>
      </c>
      <c r="O35" s="200">
        <f t="shared" si="15"/>
        <v>0</v>
      </c>
      <c r="P35" s="200">
        <f t="shared" si="15"/>
        <v>0</v>
      </c>
      <c r="Q35" s="200">
        <f t="shared" si="15"/>
        <v>0</v>
      </c>
      <c r="R35" s="200">
        <f t="shared" si="15"/>
        <v>0</v>
      </c>
      <c r="S35" s="200">
        <f t="shared" si="15"/>
        <v>0</v>
      </c>
      <c r="T35" s="200">
        <f t="shared" si="15"/>
        <v>0</v>
      </c>
      <c r="U35" s="200">
        <f t="shared" si="15"/>
        <v>0</v>
      </c>
      <c r="V35" s="200">
        <f t="shared" si="15"/>
        <v>0</v>
      </c>
      <c r="W35" s="200">
        <f t="shared" si="15"/>
        <v>0</v>
      </c>
      <c r="X35" s="200">
        <f>IF(W34+X33&lt;0,X33,-X33-W34)</f>
        <v>0</v>
      </c>
      <c r="Y35" s="200">
        <f>IF(X34+Y33&lt;0,Y33,-Y33-X34)</f>
        <v>0</v>
      </c>
      <c r="AE35" s="200">
        <f>IF(Y34+AE33&lt;0,AE33,-AE33-Y34)</f>
        <v>0</v>
      </c>
      <c r="AF35" s="200">
        <f>IF(AE34+AF33&lt;0,AF33,-AF33-AE34)</f>
        <v>0</v>
      </c>
      <c r="AG35" s="200">
        <f>IF(AF34+AG33&lt;0,AG33,-AG33-AF34)</f>
        <v>0</v>
      </c>
    </row>
    <row r="36" hidden="true" spans="4:33">
      <c r="D36" s="200">
        <f t="shared" ref="D36:Y36" si="16">IF(D35&gt;0,D35,0)</f>
        <v>0</v>
      </c>
      <c r="E36" s="200">
        <f t="shared" si="16"/>
        <v>0</v>
      </c>
      <c r="F36" s="200">
        <f t="shared" si="16"/>
        <v>0</v>
      </c>
      <c r="G36" s="200">
        <f t="shared" si="16"/>
        <v>0</v>
      </c>
      <c r="H36" s="200">
        <f t="shared" si="16"/>
        <v>0</v>
      </c>
      <c r="I36" s="200">
        <f t="shared" si="16"/>
        <v>0</v>
      </c>
      <c r="J36" s="200">
        <f t="shared" si="16"/>
        <v>0</v>
      </c>
      <c r="K36" s="200">
        <f t="shared" si="16"/>
        <v>0</v>
      </c>
      <c r="L36" s="200">
        <f t="shared" si="16"/>
        <v>0</v>
      </c>
      <c r="M36" s="200">
        <f t="shared" si="16"/>
        <v>0</v>
      </c>
      <c r="N36" s="200">
        <f t="shared" si="16"/>
        <v>0</v>
      </c>
      <c r="O36" s="200">
        <f t="shared" si="16"/>
        <v>0</v>
      </c>
      <c r="P36" s="200">
        <f t="shared" si="16"/>
        <v>0</v>
      </c>
      <c r="Q36" s="200">
        <f t="shared" si="16"/>
        <v>0</v>
      </c>
      <c r="R36" s="200">
        <f t="shared" si="16"/>
        <v>0</v>
      </c>
      <c r="S36" s="200">
        <f t="shared" si="16"/>
        <v>0</v>
      </c>
      <c r="T36" s="200">
        <f t="shared" si="16"/>
        <v>0</v>
      </c>
      <c r="U36" s="200">
        <f t="shared" si="16"/>
        <v>0</v>
      </c>
      <c r="V36" s="200">
        <f t="shared" si="16"/>
        <v>0</v>
      </c>
      <c r="W36" s="200">
        <f t="shared" si="16"/>
        <v>0</v>
      </c>
      <c r="X36" s="200">
        <f t="shared" si="16"/>
        <v>0</v>
      </c>
      <c r="Y36" s="200">
        <f t="shared" si="16"/>
        <v>0</v>
      </c>
      <c r="AE36" s="200">
        <f t="shared" ref="AE36:AG36" si="17">IF(AE35&gt;0,AE35,0)</f>
        <v>0</v>
      </c>
      <c r="AF36" s="200">
        <f t="shared" si="17"/>
        <v>0</v>
      </c>
      <c r="AG36" s="200">
        <f t="shared" si="17"/>
        <v>0</v>
      </c>
    </row>
    <row r="37" hidden="true" spans="5:7">
      <c r="E37" s="213"/>
      <c r="F37" s="213"/>
      <c r="G37" s="213"/>
    </row>
    <row r="38" hidden="true" spans="4:34">
      <c r="D38" s="213" t="e">
        <f>D9+年成本分析!D11+年成本分析!D18+年成本分析!D19</f>
        <v>#REF!</v>
      </c>
      <c r="E38" s="213" t="e">
        <f>E9+年成本分析!E11+年成本分析!E18+年成本分析!E19</f>
        <v>#REF!</v>
      </c>
      <c r="F38" s="213" t="e">
        <f>F9+年成本分析!F11+年成本分析!F18+年成本分析!F19</f>
        <v>#REF!</v>
      </c>
      <c r="G38" s="213" t="e">
        <f>G9+年成本分析!G11+年成本分析!G18+年成本分析!G19</f>
        <v>#REF!</v>
      </c>
      <c r="H38" s="213" t="e">
        <f>H9+年成本分析!H11+年成本分析!H18+年成本分析!H19</f>
        <v>#REF!</v>
      </c>
      <c r="I38" s="213" t="e">
        <f>I9+年成本分析!I11+年成本分析!I18+年成本分析!I19</f>
        <v>#REF!</v>
      </c>
      <c r="J38" s="213" t="e">
        <f>J9+年成本分析!J11+年成本分析!J18+年成本分析!J19</f>
        <v>#REF!</v>
      </c>
      <c r="K38" s="213" t="e">
        <f>K9+年成本分析!K11+年成本分析!K18+年成本分析!K19</f>
        <v>#REF!</v>
      </c>
      <c r="L38" s="213" t="e">
        <f>L9+年成本分析!L11+年成本分析!L18+年成本分析!L19</f>
        <v>#REF!</v>
      </c>
      <c r="M38" s="213" t="e">
        <f>M9+年成本分析!M11+年成本分析!M18+年成本分析!M19</f>
        <v>#REF!</v>
      </c>
      <c r="N38" s="213" t="e">
        <f>N9+年成本分析!N11+年成本分析!N18+年成本分析!N19</f>
        <v>#REF!</v>
      </c>
      <c r="O38" s="213" t="e">
        <f>O9+年成本分析!O11+年成本分析!O18+年成本分析!O19</f>
        <v>#REF!</v>
      </c>
      <c r="P38" s="213" t="e">
        <f>P9+年成本分析!P11+年成本分析!P18+年成本分析!P19</f>
        <v>#REF!</v>
      </c>
      <c r="Q38" s="213" t="e">
        <f>Q9+年成本分析!Q11+年成本分析!Q18+年成本分析!Q19</f>
        <v>#REF!</v>
      </c>
      <c r="R38" s="213" t="e">
        <f>R9+年成本分析!R11+年成本分析!R18+年成本分析!R19</f>
        <v>#REF!</v>
      </c>
      <c r="S38" s="213" t="e">
        <f>S9+年成本分析!S11+年成本分析!S18+年成本分析!S19</f>
        <v>#REF!</v>
      </c>
      <c r="T38" s="213" t="e">
        <f>T9+年成本分析!T11+年成本分析!T18+年成本分析!T19</f>
        <v>#REF!</v>
      </c>
      <c r="U38" s="213" t="e">
        <f>U9+年成本分析!U11+年成本分析!U18+年成本分析!U19</f>
        <v>#REF!</v>
      </c>
      <c r="V38" s="213" t="e">
        <f>V9+年成本分析!V11+年成本分析!V18+年成本分析!V19</f>
        <v>#REF!</v>
      </c>
      <c r="W38" s="213" t="e">
        <f>W9+年成本分析!W11+年成本分析!W18+年成本分析!W19</f>
        <v>#REF!</v>
      </c>
      <c r="X38" s="213" t="e">
        <f>X9+年成本分析!X11+年成本分析!X18+年成本分析!X19</f>
        <v>#REF!</v>
      </c>
      <c r="Y38" s="213" t="e">
        <f>Y9+年成本分析!Y11+年成本分析!Y18+年成本分析!Y19</f>
        <v>#REF!</v>
      </c>
      <c r="Z38" s="213"/>
      <c r="AA38" s="213"/>
      <c r="AB38" s="213"/>
      <c r="AC38" s="213"/>
      <c r="AD38" s="213"/>
      <c r="AE38" s="213">
        <f>AE9+年成本分析!AE11+年成本分析!AE18+年成本分析!AE19</f>
        <v>0</v>
      </c>
      <c r="AF38" s="213">
        <f>AF9+年成本分析!AF11+年成本分析!AF18+年成本分析!AF19</f>
        <v>0</v>
      </c>
      <c r="AG38" s="213">
        <f>AG9+年成本分析!AG11+年成本分析!AG18+年成本分析!AG19</f>
        <v>0</v>
      </c>
      <c r="AH38" s="213" t="e">
        <f>SUM(D38:AG38)</f>
        <v>#REF!</v>
      </c>
    </row>
    <row r="39" hidden="true" spans="34:34">
      <c r="AH39" s="230" t="e">
        <f>AH38/20</f>
        <v>#REF!</v>
      </c>
    </row>
    <row r="40" hidden="true" spans="34:34">
      <c r="AH40" s="230">
        <f>AH13/20</f>
        <v>0</v>
      </c>
    </row>
  </sheetData>
  <mergeCells count="11">
    <mergeCell ref="B1:AH1"/>
    <mergeCell ref="D3:Q3"/>
    <mergeCell ref="D19:E19"/>
    <mergeCell ref="I19:J19"/>
    <mergeCell ref="D20:E20"/>
    <mergeCell ref="D28:E28"/>
    <mergeCell ref="F28:G28"/>
    <mergeCell ref="H28:I28"/>
    <mergeCell ref="J28:K28"/>
    <mergeCell ref="L28:M28"/>
    <mergeCell ref="AH3:AH4"/>
  </mergeCells>
  <pageMargins left="1.02362204724409" right="0.15748031496063" top="1.38" bottom="0.236220472440945" header="1.26" footer="0.15748031496063"/>
  <pageSetup paperSize="9" scale="85" orientation="landscape"/>
  <headerFooter alignWithMargins="0">
    <oddHeader>&amp;R&amp;"Times New Roman,常规"&amp;14
&amp;"宋体,常规"          &amp;"Times New Roman,常规"&amp;12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I41"/>
  <sheetViews>
    <sheetView showZeros="0" view="pageBreakPreview" zoomScaleNormal="100" zoomScaleSheetLayoutView="100" workbookViewId="0">
      <selection activeCell="H113" sqref="H113"/>
    </sheetView>
  </sheetViews>
  <sheetFormatPr defaultColWidth="10" defaultRowHeight="11.25"/>
  <cols>
    <col min="1" max="1" width="2.875" style="200" customWidth="true"/>
    <col min="2" max="2" width="4.25" style="201" customWidth="true"/>
    <col min="3" max="3" width="14.125" style="200" customWidth="true"/>
    <col min="4" max="10" width="6.5" style="200" customWidth="true"/>
    <col min="11" max="11" width="6.5" style="202" customWidth="true"/>
    <col min="12" max="13" width="7.5" style="200" customWidth="true"/>
    <col min="14" max="14" width="7.5" style="202" customWidth="true"/>
    <col min="15" max="16" width="7.375" style="200" customWidth="true"/>
    <col min="17" max="18" width="7.5" style="200" customWidth="true"/>
    <col min="19" max="22" width="7.375" style="200" customWidth="true"/>
    <col min="23" max="23" width="7.875" style="200" customWidth="true"/>
    <col min="24" max="28" width="7.125" style="200" customWidth="true"/>
    <col min="29" max="33" width="6.5" style="200" hidden="true" customWidth="true" outlineLevel="1"/>
    <col min="34" max="34" width="7.875" style="200" customWidth="true" collapsed="true"/>
    <col min="35" max="35" width="10" style="200" hidden="true" customWidth="true"/>
    <col min="36" max="16384" width="10" style="200"/>
  </cols>
  <sheetData>
    <row r="1" ht="32.25" customHeight="true" spans="2:34">
      <c r="B1" s="203" t="s">
        <v>706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ht="14.25" customHeight="true" spans="2:34">
      <c r="B2" s="204" t="s">
        <v>617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</row>
    <row r="3" ht="26.1" customHeight="true" spans="2:34">
      <c r="B3" s="125" t="s">
        <v>493</v>
      </c>
      <c r="C3" s="126" t="s">
        <v>618</v>
      </c>
      <c r="D3" s="41" t="s">
        <v>621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4"/>
      <c r="AH3" s="225" t="s">
        <v>305</v>
      </c>
    </row>
    <row r="4" ht="26.1" customHeight="true" spans="2:34">
      <c r="B4" s="127" t="s">
        <v>496</v>
      </c>
      <c r="C4" s="8" t="s">
        <v>475</v>
      </c>
      <c r="D4" s="145">
        <f>现金流量!J5</f>
        <v>3</v>
      </c>
      <c r="E4" s="145">
        <f t="shared" ref="E4:AG4" si="0">D4+1</f>
        <v>4</v>
      </c>
      <c r="F4" s="145">
        <f t="shared" si="0"/>
        <v>5</v>
      </c>
      <c r="G4" s="145">
        <f t="shared" si="0"/>
        <v>6</v>
      </c>
      <c r="H4" s="145">
        <f t="shared" si="0"/>
        <v>7</v>
      </c>
      <c r="I4" s="145">
        <f t="shared" si="0"/>
        <v>8</v>
      </c>
      <c r="J4" s="145">
        <f t="shared" si="0"/>
        <v>9</v>
      </c>
      <c r="K4" s="145">
        <f t="shared" si="0"/>
        <v>10</v>
      </c>
      <c r="L4" s="145">
        <f t="shared" si="0"/>
        <v>11</v>
      </c>
      <c r="M4" s="145">
        <f t="shared" si="0"/>
        <v>12</v>
      </c>
      <c r="N4" s="145">
        <f t="shared" si="0"/>
        <v>13</v>
      </c>
      <c r="O4" s="145">
        <f t="shared" si="0"/>
        <v>14</v>
      </c>
      <c r="P4" s="145">
        <f t="shared" si="0"/>
        <v>15</v>
      </c>
      <c r="Q4" s="145">
        <f t="shared" si="0"/>
        <v>16</v>
      </c>
      <c r="R4" s="145">
        <f t="shared" si="0"/>
        <v>17</v>
      </c>
      <c r="S4" s="145">
        <f t="shared" si="0"/>
        <v>18</v>
      </c>
      <c r="T4" s="145">
        <f t="shared" si="0"/>
        <v>19</v>
      </c>
      <c r="U4" s="145">
        <f t="shared" si="0"/>
        <v>20</v>
      </c>
      <c r="V4" s="145">
        <f t="shared" si="0"/>
        <v>21</v>
      </c>
      <c r="W4" s="145">
        <f t="shared" si="0"/>
        <v>22</v>
      </c>
      <c r="X4" s="145">
        <f t="shared" si="0"/>
        <v>23</v>
      </c>
      <c r="Y4" s="145">
        <f t="shared" si="0"/>
        <v>24</v>
      </c>
      <c r="Z4" s="145">
        <f t="shared" si="0"/>
        <v>25</v>
      </c>
      <c r="AA4" s="145">
        <f t="shared" si="0"/>
        <v>26</v>
      </c>
      <c r="AB4" s="145">
        <f t="shared" si="0"/>
        <v>27</v>
      </c>
      <c r="AC4" s="145">
        <f t="shared" si="0"/>
        <v>28</v>
      </c>
      <c r="AD4" s="145">
        <f t="shared" si="0"/>
        <v>29</v>
      </c>
      <c r="AE4" s="145">
        <f t="shared" si="0"/>
        <v>30</v>
      </c>
      <c r="AF4" s="145">
        <f t="shared" si="0"/>
        <v>31</v>
      </c>
      <c r="AG4" s="145">
        <f t="shared" si="0"/>
        <v>32</v>
      </c>
      <c r="AH4" s="225"/>
    </row>
    <row r="5" ht="26.1" customHeight="true" spans="2:34">
      <c r="B5" s="11"/>
      <c r="C5" s="11" t="s">
        <v>630</v>
      </c>
      <c r="D5" s="194">
        <f>现金流量!J6</f>
        <v>0.8</v>
      </c>
      <c r="E5" s="194">
        <f>现金流量!K6</f>
        <v>0.9</v>
      </c>
      <c r="F5" s="194">
        <f>现金流量!L6</f>
        <v>1</v>
      </c>
      <c r="G5" s="194">
        <f>现金流量!M6</f>
        <v>1</v>
      </c>
      <c r="H5" s="194">
        <f>现金流量!N6</f>
        <v>1</v>
      </c>
      <c r="I5" s="194">
        <f>现金流量!O6</f>
        <v>1</v>
      </c>
      <c r="J5" s="194">
        <f>现金流量!P6</f>
        <v>1</v>
      </c>
      <c r="K5" s="194">
        <f>现金流量!Q6</f>
        <v>1</v>
      </c>
      <c r="L5" s="194">
        <f>现金流量!R6</f>
        <v>1</v>
      </c>
      <c r="M5" s="194">
        <f>现金流量!S6</f>
        <v>1</v>
      </c>
      <c r="N5" s="194">
        <f>现金流量!T6</f>
        <v>1</v>
      </c>
      <c r="O5" s="194">
        <f>现金流量!U6</f>
        <v>1</v>
      </c>
      <c r="P5" s="194">
        <f>现金流量!V6</f>
        <v>1</v>
      </c>
      <c r="Q5" s="194">
        <f>现金流量!W6</f>
        <v>1</v>
      </c>
      <c r="R5" s="194">
        <f>现金流量!X6</f>
        <v>1</v>
      </c>
      <c r="S5" s="194">
        <f>现金流量!Y6</f>
        <v>1</v>
      </c>
      <c r="T5" s="194">
        <f>现金流量!Z6</f>
        <v>1</v>
      </c>
      <c r="U5" s="194">
        <f>现金流量!AA6</f>
        <v>1</v>
      </c>
      <c r="V5" s="194">
        <f>现金流量!AB6</f>
        <v>1</v>
      </c>
      <c r="W5" s="194">
        <f>现金流量!AC6</f>
        <v>1</v>
      </c>
      <c r="X5" s="194">
        <f>现金流量!AD6</f>
        <v>1</v>
      </c>
      <c r="Y5" s="194">
        <f>现金流量!AE6</f>
        <v>1</v>
      </c>
      <c r="Z5" s="194">
        <f>现金流量!AF6</f>
        <v>1</v>
      </c>
      <c r="AA5" s="194">
        <f>现金流量!AG6</f>
        <v>1</v>
      </c>
      <c r="AB5" s="194">
        <f>现金流量!AH6</f>
        <v>1</v>
      </c>
      <c r="AC5" s="194">
        <f>现金流量!AI6</f>
        <v>0</v>
      </c>
      <c r="AD5" s="194">
        <f>现金流量!AJ6</f>
        <v>0</v>
      </c>
      <c r="AE5" s="194">
        <f>现金流量!AK6</f>
        <v>0</v>
      </c>
      <c r="AF5" s="194">
        <f>现金流量!AL6</f>
        <v>0</v>
      </c>
      <c r="AG5" s="194">
        <f>现金流量!AM6</f>
        <v>0</v>
      </c>
      <c r="AH5" s="226"/>
    </row>
    <row r="6" ht="26.1" customHeight="true" spans="2:35">
      <c r="B6" s="191">
        <v>1</v>
      </c>
      <c r="C6" s="15" t="s">
        <v>686</v>
      </c>
      <c r="D6" s="205">
        <f>成本!$D$4*360*$E$23*D5</f>
        <v>7879.68</v>
      </c>
      <c r="E6" s="205">
        <f>成本!$D$4*360*$E$23*E5</f>
        <v>8864.64</v>
      </c>
      <c r="F6" s="205">
        <f>成本!$D$4*360*$E$23*F5</f>
        <v>9849.6</v>
      </c>
      <c r="G6" s="205">
        <f>成本!$D$4*360*$E$23*G5</f>
        <v>9849.6</v>
      </c>
      <c r="H6" s="205">
        <f>成本!$D$4*360*$E$23*H5</f>
        <v>9849.6</v>
      </c>
      <c r="I6" s="205">
        <f>成本!$D$4*360*$E$23*I5</f>
        <v>9849.6</v>
      </c>
      <c r="J6" s="205">
        <f>成本!$D$4*360*$E$23*J5</f>
        <v>9849.6</v>
      </c>
      <c r="K6" s="205">
        <f>成本!$D$4*360*$E$23*K5</f>
        <v>9849.6</v>
      </c>
      <c r="L6" s="205">
        <f>成本!$D$4*360*$E$23*L5</f>
        <v>9849.6</v>
      </c>
      <c r="M6" s="205">
        <f>成本!$D$4*360*$E$23*M5</f>
        <v>9849.6</v>
      </c>
      <c r="N6" s="205">
        <f>成本!$D$4*360*$E$23*N5</f>
        <v>9849.6</v>
      </c>
      <c r="O6" s="205">
        <f>成本!$D$4*360*$E$23*O5</f>
        <v>9849.6</v>
      </c>
      <c r="P6" s="205">
        <f>成本!$D$4*360*$E$23*P5</f>
        <v>9849.6</v>
      </c>
      <c r="Q6" s="205">
        <f>成本!$D$4*360*$E$23*Q5</f>
        <v>9849.6</v>
      </c>
      <c r="R6" s="205">
        <f>成本!$D$4*360*$E$23*R5</f>
        <v>9849.6</v>
      </c>
      <c r="S6" s="205">
        <f>成本!$D$4*360*$E$23*S5</f>
        <v>9849.6</v>
      </c>
      <c r="T6" s="205">
        <f>成本!$D$4*360*$E$23*T5</f>
        <v>9849.6</v>
      </c>
      <c r="U6" s="205">
        <f>成本!$D$4*360*$E$23*U5</f>
        <v>9849.6</v>
      </c>
      <c r="V6" s="205">
        <f>成本!$D$4*360*$E$23*V5</f>
        <v>9849.6</v>
      </c>
      <c r="W6" s="205">
        <f>成本!$D$4*360*$E$23*W5</f>
        <v>9849.6</v>
      </c>
      <c r="X6" s="205">
        <f>成本!$D$4*360*$E$23*X5</f>
        <v>9849.6</v>
      </c>
      <c r="Y6" s="205">
        <f>成本!$D$4*360*$E$23*Y5</f>
        <v>9849.6</v>
      </c>
      <c r="Z6" s="205">
        <f>成本!$D$4*360*$E$23*Z5</f>
        <v>9849.6</v>
      </c>
      <c r="AA6" s="205">
        <f>成本!$D$4*360*$E$23*AA5</f>
        <v>9849.6</v>
      </c>
      <c r="AB6" s="205">
        <f>成本!$D$4*360*$E$23*AB5</f>
        <v>9849.6</v>
      </c>
      <c r="AC6" s="205">
        <f>成本!$D$4*360*$E$23*AC5</f>
        <v>0</v>
      </c>
      <c r="AD6" s="205">
        <f>成本!$D$4*360*$E$23*AD5</f>
        <v>0</v>
      </c>
      <c r="AE6" s="205">
        <f>成本!$D$4*360*$E$23*AE5</f>
        <v>0</v>
      </c>
      <c r="AF6" s="205">
        <f>成本!$D$4*360*$E$23*AF5</f>
        <v>0</v>
      </c>
      <c r="AG6" s="205">
        <f>成本!$D$4*360*$E$23*AG5</f>
        <v>0</v>
      </c>
      <c r="AH6" s="205">
        <f t="shared" ref="AH6:AH11" si="1">SUM(D6:AG6)</f>
        <v>243285.12</v>
      </c>
      <c r="AI6" s="200">
        <f>AH6/'总表 (2)'!D43</f>
        <v>9731.4048</v>
      </c>
    </row>
    <row r="7" ht="26.1" customHeight="true" spans="2:34">
      <c r="B7" s="191">
        <v>2</v>
      </c>
      <c r="C7" s="15" t="s">
        <v>707</v>
      </c>
      <c r="D7" s="205" t="e">
        <f>年成本分析!D20</f>
        <v>#REF!</v>
      </c>
      <c r="E7" s="205" t="e">
        <f>年成本分析!E20</f>
        <v>#REF!</v>
      </c>
      <c r="F7" s="205" t="e">
        <f>年成本分析!F20</f>
        <v>#REF!</v>
      </c>
      <c r="G7" s="205" t="e">
        <f>年成本分析!G20</f>
        <v>#REF!</v>
      </c>
      <c r="H7" s="205" t="e">
        <f>年成本分析!H20</f>
        <v>#REF!</v>
      </c>
      <c r="I7" s="205" t="e">
        <f>年成本分析!I20</f>
        <v>#REF!</v>
      </c>
      <c r="J7" s="205" t="e">
        <f>年成本分析!J20</f>
        <v>#REF!</v>
      </c>
      <c r="K7" s="205" t="e">
        <f>年成本分析!K20</f>
        <v>#REF!</v>
      </c>
      <c r="L7" s="205" t="e">
        <f>年成本分析!L20</f>
        <v>#REF!</v>
      </c>
      <c r="M7" s="205" t="e">
        <f>年成本分析!M20</f>
        <v>#REF!</v>
      </c>
      <c r="N7" s="205" t="e">
        <f>年成本分析!N20</f>
        <v>#REF!</v>
      </c>
      <c r="O7" s="205" t="e">
        <f>年成本分析!O20</f>
        <v>#REF!</v>
      </c>
      <c r="P7" s="205" t="e">
        <f>年成本分析!P20</f>
        <v>#REF!</v>
      </c>
      <c r="Q7" s="205" t="e">
        <f>年成本分析!Q20</f>
        <v>#REF!</v>
      </c>
      <c r="R7" s="205" t="e">
        <f>年成本分析!R20</f>
        <v>#REF!</v>
      </c>
      <c r="S7" s="205" t="e">
        <f>年成本分析!S20</f>
        <v>#REF!</v>
      </c>
      <c r="T7" s="205" t="e">
        <f>年成本分析!T20</f>
        <v>#REF!</v>
      </c>
      <c r="U7" s="205" t="e">
        <f>年成本分析!U20</f>
        <v>#REF!</v>
      </c>
      <c r="V7" s="205" t="e">
        <f>年成本分析!V20</f>
        <v>#REF!</v>
      </c>
      <c r="W7" s="205" t="e">
        <f>年成本分析!W20</f>
        <v>#REF!</v>
      </c>
      <c r="X7" s="205" t="e">
        <f>年成本分析!X20</f>
        <v>#REF!</v>
      </c>
      <c r="Y7" s="205" t="e">
        <f>年成本分析!Y20</f>
        <v>#REF!</v>
      </c>
      <c r="Z7" s="205" t="e">
        <f>年成本分析!Z20</f>
        <v>#REF!</v>
      </c>
      <c r="AA7" s="205" t="e">
        <f>年成本分析!AA20</f>
        <v>#REF!</v>
      </c>
      <c r="AB7" s="205" t="e">
        <f>年成本分析!AB20</f>
        <v>#REF!</v>
      </c>
      <c r="AC7" s="205">
        <f>年成本分析!AC20</f>
        <v>0</v>
      </c>
      <c r="AD7" s="205">
        <f>年成本分析!AD20</f>
        <v>0</v>
      </c>
      <c r="AE7" s="205">
        <f>年成本分析!AE20</f>
        <v>0</v>
      </c>
      <c r="AF7" s="205">
        <f>年成本分析!AF20</f>
        <v>0</v>
      </c>
      <c r="AG7" s="205">
        <f>年成本分析!AG20</f>
        <v>0</v>
      </c>
      <c r="AH7" s="205" t="e">
        <f t="shared" si="1"/>
        <v>#REF!</v>
      </c>
    </row>
    <row r="8" ht="26.1" customHeight="true" spans="2:35">
      <c r="B8" s="191">
        <v>3</v>
      </c>
      <c r="C8" s="15" t="s">
        <v>652</v>
      </c>
      <c r="D8" s="205">
        <f>年成本分析!D39</f>
        <v>236.3904</v>
      </c>
      <c r="E8" s="205">
        <f>年成本分析!E39</f>
        <v>265.9392</v>
      </c>
      <c r="F8" s="205">
        <f>年成本分析!F39</f>
        <v>295.488</v>
      </c>
      <c r="G8" s="205">
        <f>年成本分析!G39</f>
        <v>295.488</v>
      </c>
      <c r="H8" s="205">
        <f>年成本分析!H39</f>
        <v>295.488</v>
      </c>
      <c r="I8" s="205">
        <f>年成本分析!I39</f>
        <v>295.488</v>
      </c>
      <c r="J8" s="205">
        <f>年成本分析!J39</f>
        <v>295.488</v>
      </c>
      <c r="K8" s="205">
        <f>年成本分析!K39</f>
        <v>295.488</v>
      </c>
      <c r="L8" s="205">
        <f>年成本分析!L39</f>
        <v>295.488</v>
      </c>
      <c r="M8" s="205">
        <f>年成本分析!M39</f>
        <v>295.488</v>
      </c>
      <c r="N8" s="205">
        <f>年成本分析!N39</f>
        <v>295.488</v>
      </c>
      <c r="O8" s="205">
        <f>年成本分析!O39</f>
        <v>295.488</v>
      </c>
      <c r="P8" s="205">
        <f>年成本分析!P39</f>
        <v>295.488</v>
      </c>
      <c r="Q8" s="205">
        <f>年成本分析!Q39</f>
        <v>295.488</v>
      </c>
      <c r="R8" s="205">
        <f>年成本分析!R39</f>
        <v>295.488</v>
      </c>
      <c r="S8" s="205">
        <f>年成本分析!S39</f>
        <v>295.488</v>
      </c>
      <c r="T8" s="205">
        <f>年成本分析!T39</f>
        <v>295.488</v>
      </c>
      <c r="U8" s="205">
        <f>年成本分析!U39</f>
        <v>295.488</v>
      </c>
      <c r="V8" s="205">
        <f>年成本分析!V39</f>
        <v>295.488</v>
      </c>
      <c r="W8" s="205">
        <f>年成本分析!W39</f>
        <v>295.488</v>
      </c>
      <c r="X8" s="205">
        <f>年成本分析!X39</f>
        <v>295.488</v>
      </c>
      <c r="Y8" s="205">
        <f>年成本分析!Y39</f>
        <v>295.488</v>
      </c>
      <c r="Z8" s="205">
        <f>年成本分析!Z39</f>
        <v>295.488</v>
      </c>
      <c r="AA8" s="205">
        <f>年成本分析!AA39</f>
        <v>295.488</v>
      </c>
      <c r="AB8" s="205">
        <f>年成本分析!AB39</f>
        <v>295.488</v>
      </c>
      <c r="AC8" s="205"/>
      <c r="AD8" s="205"/>
      <c r="AE8" s="205"/>
      <c r="AF8" s="205"/>
      <c r="AG8" s="205"/>
      <c r="AH8" s="205">
        <f t="shared" si="1"/>
        <v>7298.5536</v>
      </c>
      <c r="AI8" s="227"/>
    </row>
    <row r="9" ht="26.1" hidden="true" customHeight="true" spans="2:34">
      <c r="B9" s="191" t="s">
        <v>39</v>
      </c>
      <c r="C9" s="15"/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0</v>
      </c>
      <c r="S9" s="205">
        <v>0</v>
      </c>
      <c r="T9" s="205">
        <v>0</v>
      </c>
      <c r="U9" s="205">
        <v>0</v>
      </c>
      <c r="V9" s="205">
        <v>0</v>
      </c>
      <c r="W9" s="205">
        <v>0</v>
      </c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>
        <f t="shared" si="1"/>
        <v>0</v>
      </c>
    </row>
    <row r="10" ht="26.1" customHeight="true" spans="2:34">
      <c r="B10" s="191">
        <v>4</v>
      </c>
      <c r="C10" s="15" t="s">
        <v>708</v>
      </c>
      <c r="D10" s="205" t="e">
        <f t="shared" ref="D10:AB10" si="2">D6-D7-D8-D9</f>
        <v>#REF!</v>
      </c>
      <c r="E10" s="205" t="e">
        <f t="shared" si="2"/>
        <v>#REF!</v>
      </c>
      <c r="F10" s="205" t="e">
        <f t="shared" si="2"/>
        <v>#REF!</v>
      </c>
      <c r="G10" s="205" t="e">
        <f t="shared" si="2"/>
        <v>#REF!</v>
      </c>
      <c r="H10" s="205" t="e">
        <f t="shared" si="2"/>
        <v>#REF!</v>
      </c>
      <c r="I10" s="205" t="e">
        <f t="shared" si="2"/>
        <v>#REF!</v>
      </c>
      <c r="J10" s="205" t="e">
        <f t="shared" si="2"/>
        <v>#REF!</v>
      </c>
      <c r="K10" s="205" t="e">
        <f t="shared" si="2"/>
        <v>#REF!</v>
      </c>
      <c r="L10" s="205" t="e">
        <f t="shared" si="2"/>
        <v>#REF!</v>
      </c>
      <c r="M10" s="205" t="e">
        <f t="shared" si="2"/>
        <v>#REF!</v>
      </c>
      <c r="N10" s="205" t="e">
        <f t="shared" si="2"/>
        <v>#REF!</v>
      </c>
      <c r="O10" s="205" t="e">
        <f t="shared" si="2"/>
        <v>#REF!</v>
      </c>
      <c r="P10" s="205" t="e">
        <f t="shared" si="2"/>
        <v>#REF!</v>
      </c>
      <c r="Q10" s="205" t="e">
        <f t="shared" si="2"/>
        <v>#REF!</v>
      </c>
      <c r="R10" s="205" t="e">
        <f t="shared" si="2"/>
        <v>#REF!</v>
      </c>
      <c r="S10" s="205" t="e">
        <f t="shared" si="2"/>
        <v>#REF!</v>
      </c>
      <c r="T10" s="205" t="e">
        <f t="shared" si="2"/>
        <v>#REF!</v>
      </c>
      <c r="U10" s="205" t="e">
        <f t="shared" si="2"/>
        <v>#REF!</v>
      </c>
      <c r="V10" s="205" t="e">
        <f t="shared" si="2"/>
        <v>#REF!</v>
      </c>
      <c r="W10" s="205" t="e">
        <f t="shared" si="2"/>
        <v>#REF!</v>
      </c>
      <c r="X10" s="205" t="e">
        <f t="shared" si="2"/>
        <v>#REF!</v>
      </c>
      <c r="Y10" s="205" t="e">
        <f t="shared" si="2"/>
        <v>#REF!</v>
      </c>
      <c r="Z10" s="205" t="e">
        <f t="shared" si="2"/>
        <v>#REF!</v>
      </c>
      <c r="AA10" s="205" t="e">
        <f t="shared" si="2"/>
        <v>#REF!</v>
      </c>
      <c r="AB10" s="205" t="e">
        <f t="shared" si="2"/>
        <v>#REF!</v>
      </c>
      <c r="AC10" s="205"/>
      <c r="AD10" s="205"/>
      <c r="AE10" s="205"/>
      <c r="AF10" s="205"/>
      <c r="AG10" s="205"/>
      <c r="AH10" s="205" t="e">
        <f t="shared" si="1"/>
        <v>#REF!</v>
      </c>
    </row>
    <row r="11" ht="26.1" customHeight="true" spans="1:34">
      <c r="A11" s="134"/>
      <c r="B11" s="191">
        <v>5</v>
      </c>
      <c r="C11" s="15" t="s">
        <v>709</v>
      </c>
      <c r="D11" s="206"/>
      <c r="E11" s="206" t="e">
        <f t="shared" ref="E11:AB11" si="3">IF(D12&lt;0,-D12,0)</f>
        <v>#REF!</v>
      </c>
      <c r="F11" s="206" t="e">
        <f t="shared" si="3"/>
        <v>#REF!</v>
      </c>
      <c r="G11" s="206" t="e">
        <f t="shared" si="3"/>
        <v>#REF!</v>
      </c>
      <c r="H11" s="206" t="e">
        <f t="shared" si="3"/>
        <v>#REF!</v>
      </c>
      <c r="I11" s="206" t="e">
        <f t="shared" si="3"/>
        <v>#REF!</v>
      </c>
      <c r="J11" s="206" t="e">
        <f t="shared" si="3"/>
        <v>#REF!</v>
      </c>
      <c r="K11" s="206" t="e">
        <f t="shared" si="3"/>
        <v>#REF!</v>
      </c>
      <c r="L11" s="206" t="e">
        <f t="shared" si="3"/>
        <v>#REF!</v>
      </c>
      <c r="M11" s="206" t="e">
        <f t="shared" si="3"/>
        <v>#REF!</v>
      </c>
      <c r="N11" s="206" t="e">
        <f t="shared" si="3"/>
        <v>#REF!</v>
      </c>
      <c r="O11" s="206" t="e">
        <f t="shared" si="3"/>
        <v>#REF!</v>
      </c>
      <c r="P11" s="206" t="e">
        <f t="shared" si="3"/>
        <v>#REF!</v>
      </c>
      <c r="Q11" s="206" t="e">
        <f t="shared" si="3"/>
        <v>#REF!</v>
      </c>
      <c r="R11" s="206" t="e">
        <f t="shared" si="3"/>
        <v>#REF!</v>
      </c>
      <c r="S11" s="206" t="e">
        <f t="shared" si="3"/>
        <v>#REF!</v>
      </c>
      <c r="T11" s="206" t="e">
        <f t="shared" si="3"/>
        <v>#REF!</v>
      </c>
      <c r="U11" s="206" t="e">
        <f t="shared" si="3"/>
        <v>#REF!</v>
      </c>
      <c r="V11" s="206" t="e">
        <f t="shared" si="3"/>
        <v>#REF!</v>
      </c>
      <c r="W11" s="206" t="e">
        <f t="shared" si="3"/>
        <v>#REF!</v>
      </c>
      <c r="X11" s="206" t="e">
        <f t="shared" si="3"/>
        <v>#REF!</v>
      </c>
      <c r="Y11" s="206" t="e">
        <f t="shared" si="3"/>
        <v>#REF!</v>
      </c>
      <c r="Z11" s="206" t="e">
        <f t="shared" si="3"/>
        <v>#REF!</v>
      </c>
      <c r="AA11" s="206" t="e">
        <f t="shared" si="3"/>
        <v>#REF!</v>
      </c>
      <c r="AB11" s="206" t="e">
        <f t="shared" si="3"/>
        <v>#REF!</v>
      </c>
      <c r="AC11" s="206"/>
      <c r="AD11" s="206"/>
      <c r="AE11" s="206"/>
      <c r="AF11" s="206"/>
      <c r="AG11" s="206"/>
      <c r="AH11" s="205" t="e">
        <f t="shared" si="1"/>
        <v>#REF!</v>
      </c>
    </row>
    <row r="12" ht="26.1" customHeight="true" spans="1:34">
      <c r="A12" s="134"/>
      <c r="B12" s="191">
        <v>6</v>
      </c>
      <c r="C12" s="15" t="s">
        <v>710</v>
      </c>
      <c r="D12" s="206" t="e">
        <f t="shared" ref="D12:AB12" si="4">D10-D11</f>
        <v>#REF!</v>
      </c>
      <c r="E12" s="206" t="e">
        <f t="shared" si="4"/>
        <v>#REF!</v>
      </c>
      <c r="F12" s="206" t="e">
        <f t="shared" si="4"/>
        <v>#REF!</v>
      </c>
      <c r="G12" s="206" t="e">
        <f t="shared" si="4"/>
        <v>#REF!</v>
      </c>
      <c r="H12" s="206" t="e">
        <f t="shared" si="4"/>
        <v>#REF!</v>
      </c>
      <c r="I12" s="206" t="e">
        <f t="shared" si="4"/>
        <v>#REF!</v>
      </c>
      <c r="J12" s="206" t="e">
        <f t="shared" si="4"/>
        <v>#REF!</v>
      </c>
      <c r="K12" s="206" t="e">
        <f t="shared" si="4"/>
        <v>#REF!</v>
      </c>
      <c r="L12" s="206" t="e">
        <f t="shared" si="4"/>
        <v>#REF!</v>
      </c>
      <c r="M12" s="206" t="e">
        <f t="shared" si="4"/>
        <v>#REF!</v>
      </c>
      <c r="N12" s="206" t="e">
        <f t="shared" si="4"/>
        <v>#REF!</v>
      </c>
      <c r="O12" s="206" t="e">
        <f t="shared" si="4"/>
        <v>#REF!</v>
      </c>
      <c r="P12" s="206" t="e">
        <f t="shared" si="4"/>
        <v>#REF!</v>
      </c>
      <c r="Q12" s="206" t="e">
        <f t="shared" si="4"/>
        <v>#REF!</v>
      </c>
      <c r="R12" s="206" t="e">
        <f t="shared" si="4"/>
        <v>#REF!</v>
      </c>
      <c r="S12" s="206" t="e">
        <f t="shared" si="4"/>
        <v>#REF!</v>
      </c>
      <c r="T12" s="206" t="e">
        <f t="shared" si="4"/>
        <v>#REF!</v>
      </c>
      <c r="U12" s="206" t="e">
        <f t="shared" si="4"/>
        <v>#REF!</v>
      </c>
      <c r="V12" s="206" t="e">
        <f t="shared" si="4"/>
        <v>#REF!</v>
      </c>
      <c r="W12" s="206" t="e">
        <f t="shared" si="4"/>
        <v>#REF!</v>
      </c>
      <c r="X12" s="206" t="e">
        <f t="shared" si="4"/>
        <v>#REF!</v>
      </c>
      <c r="Y12" s="206" t="e">
        <f t="shared" si="4"/>
        <v>#REF!</v>
      </c>
      <c r="Z12" s="206" t="e">
        <f t="shared" si="4"/>
        <v>#REF!</v>
      </c>
      <c r="AA12" s="206" t="e">
        <f t="shared" si="4"/>
        <v>#REF!</v>
      </c>
      <c r="AB12" s="206" t="e">
        <f t="shared" si="4"/>
        <v>#REF!</v>
      </c>
      <c r="AC12" s="206"/>
      <c r="AD12" s="206"/>
      <c r="AE12" s="206"/>
      <c r="AF12" s="206"/>
      <c r="AG12" s="206"/>
      <c r="AH12" s="205"/>
    </row>
    <row r="13" ht="26.1" customHeight="true" spans="2:34">
      <c r="B13" s="191">
        <v>7</v>
      </c>
      <c r="C13" s="15" t="s">
        <v>684</v>
      </c>
      <c r="D13" s="205" t="e">
        <f>IF(D12&lt;0,0,D12*'总表 (2)'!D53)</f>
        <v>#REF!</v>
      </c>
      <c r="E13" s="205" t="e">
        <f>IF(E12&lt;0,0,E12*'总表 (2)'!E53)</f>
        <v>#REF!</v>
      </c>
      <c r="F13" s="205" t="e">
        <f>IF(F12&lt;0,0,F12*'总表 (2)'!F53)</f>
        <v>#REF!</v>
      </c>
      <c r="G13" s="205" t="e">
        <f>IF(G12&lt;0,0,G12*'总表 (2)'!G53)</f>
        <v>#REF!</v>
      </c>
      <c r="H13" s="205" t="e">
        <f>IF(H12&lt;0,0,H12*'总表 (2)'!H53)</f>
        <v>#REF!</v>
      </c>
      <c r="I13" s="205" t="e">
        <f>IF(I12&lt;0,0,I12*'总表 (2)'!I53)</f>
        <v>#REF!</v>
      </c>
      <c r="J13" s="205" t="e">
        <f>IF(J12&lt;0,0,J12*'总表 (2)'!J53)</f>
        <v>#REF!</v>
      </c>
      <c r="K13" s="205" t="e">
        <f>IF(K12&lt;0,0,K12*'总表 (2)'!K53)</f>
        <v>#REF!</v>
      </c>
      <c r="L13" s="205" t="e">
        <f>IF(L12&lt;0,0,L12*'总表 (2)'!L53)</f>
        <v>#REF!</v>
      </c>
      <c r="M13" s="205" t="e">
        <f>IF(M12&lt;0,0,M12*'总表 (2)'!M53)</f>
        <v>#REF!</v>
      </c>
      <c r="N13" s="205" t="e">
        <f>IF(N12&lt;0,0,N12*'总表 (2)'!N53)</f>
        <v>#REF!</v>
      </c>
      <c r="O13" s="205" t="e">
        <f>IF(O12&lt;0,0,O12*'总表 (2)'!O53)</f>
        <v>#REF!</v>
      </c>
      <c r="P13" s="205" t="e">
        <f>IF(P12&lt;0,0,P12*'总表 (2)'!P53)</f>
        <v>#REF!</v>
      </c>
      <c r="Q13" s="205" t="e">
        <f>IF(Q12&lt;0,0,Q12*'总表 (2)'!Q53)</f>
        <v>#REF!</v>
      </c>
      <c r="R13" s="205" t="e">
        <f>IF(R12&lt;0,0,R12*'总表 (2)'!R53)</f>
        <v>#REF!</v>
      </c>
      <c r="S13" s="205" t="e">
        <f>IF(S12&lt;0,0,S12*'总表 (2)'!S53)</f>
        <v>#REF!</v>
      </c>
      <c r="T13" s="205" t="e">
        <f>IF(T12&lt;0,0,T12*'总表 (2)'!T53)</f>
        <v>#REF!</v>
      </c>
      <c r="U13" s="205" t="e">
        <f>IF(U12&lt;0,0,U12*'总表 (2)'!U53)</f>
        <v>#REF!</v>
      </c>
      <c r="V13" s="205" t="e">
        <f>IF(V12&lt;0,0,V12*'总表 (2)'!V53)</f>
        <v>#REF!</v>
      </c>
      <c r="W13" s="205" t="e">
        <f>IF(W12&lt;0,0,W12*'总表 (2)'!W53)</f>
        <v>#REF!</v>
      </c>
      <c r="X13" s="205" t="e">
        <f>IF(X12&lt;0,0,X12*'总表 (2)'!X53)</f>
        <v>#REF!</v>
      </c>
      <c r="Y13" s="205" t="e">
        <f>IF(Y12&lt;0,0,Y12*'总表 (2)'!Y53)</f>
        <v>#REF!</v>
      </c>
      <c r="Z13" s="205" t="e">
        <f>IF(Z12&lt;0,0,Z12*'总表 (2)'!Z53)</f>
        <v>#REF!</v>
      </c>
      <c r="AA13" s="205" t="e">
        <f>IF(AA12&lt;0,0,AA12*'总表 (2)'!AA53)</f>
        <v>#REF!</v>
      </c>
      <c r="AB13" s="205" t="e">
        <f>IF(AB12&lt;0,0,AB12*'总表 (2)'!AB53)</f>
        <v>#REF!</v>
      </c>
      <c r="AC13" s="205"/>
      <c r="AD13" s="205"/>
      <c r="AE13" s="205"/>
      <c r="AF13" s="205"/>
      <c r="AG13" s="205"/>
      <c r="AH13" s="205" t="e">
        <f t="shared" ref="AH13:AH18" si="5">SUM(D13:AG13)</f>
        <v>#REF!</v>
      </c>
    </row>
    <row r="14" ht="26.1" customHeight="true" spans="2:34">
      <c r="B14" s="191">
        <v>8</v>
      </c>
      <c r="C14" s="191" t="s">
        <v>711</v>
      </c>
      <c r="D14" s="205" t="e">
        <f t="shared" ref="D14:AB14" si="6">D10-D13</f>
        <v>#REF!</v>
      </c>
      <c r="E14" s="205" t="e">
        <f t="shared" si="6"/>
        <v>#REF!</v>
      </c>
      <c r="F14" s="205" t="e">
        <f t="shared" si="6"/>
        <v>#REF!</v>
      </c>
      <c r="G14" s="205" t="e">
        <f t="shared" si="6"/>
        <v>#REF!</v>
      </c>
      <c r="H14" s="205" t="e">
        <f t="shared" si="6"/>
        <v>#REF!</v>
      </c>
      <c r="I14" s="205" t="e">
        <f t="shared" si="6"/>
        <v>#REF!</v>
      </c>
      <c r="J14" s="205" t="e">
        <f t="shared" si="6"/>
        <v>#REF!</v>
      </c>
      <c r="K14" s="205" t="e">
        <f t="shared" si="6"/>
        <v>#REF!</v>
      </c>
      <c r="L14" s="205" t="e">
        <f t="shared" si="6"/>
        <v>#REF!</v>
      </c>
      <c r="M14" s="205" t="e">
        <f t="shared" si="6"/>
        <v>#REF!</v>
      </c>
      <c r="N14" s="205" t="e">
        <f t="shared" si="6"/>
        <v>#REF!</v>
      </c>
      <c r="O14" s="205" t="e">
        <f t="shared" si="6"/>
        <v>#REF!</v>
      </c>
      <c r="P14" s="205" t="e">
        <f t="shared" si="6"/>
        <v>#REF!</v>
      </c>
      <c r="Q14" s="205" t="e">
        <f t="shared" si="6"/>
        <v>#REF!</v>
      </c>
      <c r="R14" s="205" t="e">
        <f t="shared" si="6"/>
        <v>#REF!</v>
      </c>
      <c r="S14" s="205" t="e">
        <f t="shared" si="6"/>
        <v>#REF!</v>
      </c>
      <c r="T14" s="205" t="e">
        <f t="shared" si="6"/>
        <v>#REF!</v>
      </c>
      <c r="U14" s="205" t="e">
        <f t="shared" si="6"/>
        <v>#REF!</v>
      </c>
      <c r="V14" s="205" t="e">
        <f t="shared" si="6"/>
        <v>#REF!</v>
      </c>
      <c r="W14" s="205" t="e">
        <f t="shared" si="6"/>
        <v>#REF!</v>
      </c>
      <c r="X14" s="205" t="e">
        <f t="shared" si="6"/>
        <v>#REF!</v>
      </c>
      <c r="Y14" s="205" t="e">
        <f t="shared" si="6"/>
        <v>#REF!</v>
      </c>
      <c r="Z14" s="205" t="e">
        <f t="shared" si="6"/>
        <v>#REF!</v>
      </c>
      <c r="AA14" s="205" t="e">
        <f t="shared" si="6"/>
        <v>#REF!</v>
      </c>
      <c r="AB14" s="205" t="e">
        <f t="shared" si="6"/>
        <v>#REF!</v>
      </c>
      <c r="AC14" s="205"/>
      <c r="AD14" s="205"/>
      <c r="AE14" s="205"/>
      <c r="AF14" s="205"/>
      <c r="AG14" s="205"/>
      <c r="AH14" s="205" t="e">
        <f t="shared" si="5"/>
        <v>#REF!</v>
      </c>
    </row>
    <row r="15" ht="26.1" customHeight="true" spans="2:34">
      <c r="B15" s="191">
        <v>8.1</v>
      </c>
      <c r="C15" s="15" t="s">
        <v>712</v>
      </c>
      <c r="D15" s="205" t="e">
        <f>IF(借款偿还!K6&gt;0,0,D14*10%)</f>
        <v>#REF!</v>
      </c>
      <c r="E15" s="205" t="e">
        <f>IF(借款偿还!L6&gt;0,0,E14*10%)</f>
        <v>#REF!</v>
      </c>
      <c r="F15" s="205" t="e">
        <f>IF(借款偿还!M6&gt;0,0,F14*10%)</f>
        <v>#REF!</v>
      </c>
      <c r="G15" s="205" t="e">
        <f>IF(借款偿还!N6&gt;0,0,G14*10%)</f>
        <v>#REF!</v>
      </c>
      <c r="H15" s="205" t="e">
        <f>IF(借款偿还!O6&gt;0,0,H14*10%)</f>
        <v>#REF!</v>
      </c>
      <c r="I15" s="205" t="e">
        <f>IF(借款偿还!P6&gt;0,0,I14*10%)</f>
        <v>#REF!</v>
      </c>
      <c r="J15" s="205" t="e">
        <f>IF(借款偿还!Q6&gt;0,0,J14*10%)</f>
        <v>#REF!</v>
      </c>
      <c r="K15" s="205" t="e">
        <f>IF(借款偿还!R6&gt;0,0,K14*10%)</f>
        <v>#REF!</v>
      </c>
      <c r="L15" s="205" t="e">
        <f>IF(借款偿还!S6&gt;0,0,L14*10%)</f>
        <v>#REF!</v>
      </c>
      <c r="M15" s="205" t="e">
        <f>IF(借款偿还!T6&gt;0,0,M14*10%)</f>
        <v>#REF!</v>
      </c>
      <c r="N15" s="205" t="e">
        <f>IF(借款偿还!U6&gt;0,0,N14*10%)</f>
        <v>#REF!</v>
      </c>
      <c r="O15" s="205" t="e">
        <f>IF(借款偿还!V6&gt;0,0,O14*10%)</f>
        <v>#REF!</v>
      </c>
      <c r="P15" s="205" t="e">
        <f>IF(借款偿还!W6&gt;0,0,P14*10%)</f>
        <v>#REF!</v>
      </c>
      <c r="Q15" s="205" t="e">
        <f>IF(借款偿还!X6&gt;0,0,Q14*10%)</f>
        <v>#REF!</v>
      </c>
      <c r="R15" s="205" t="e">
        <f>IF(借款偿还!Y6&gt;0,0,R14*10%)</f>
        <v>#REF!</v>
      </c>
      <c r="S15" s="205" t="e">
        <f>IF(借款偿还!Z6&gt;0,0,S14*10%)</f>
        <v>#REF!</v>
      </c>
      <c r="T15" s="205" t="e">
        <f>IF(借款偿还!AA6&gt;0,0,T14*10%)</f>
        <v>#REF!</v>
      </c>
      <c r="U15" s="205" t="e">
        <f>IF(借款偿还!AB6&gt;0,0,U14*10%)</f>
        <v>#REF!</v>
      </c>
      <c r="V15" s="205" t="e">
        <f>IF(借款偿还!AC6&gt;0,0,V14*10%)</f>
        <v>#REF!</v>
      </c>
      <c r="W15" s="205" t="e">
        <f>IF(借款偿还!AD6&gt;0,0,W14*10%)</f>
        <v>#REF!</v>
      </c>
      <c r="X15" s="205" t="e">
        <f>IF(借款偿还!AE6&gt;0,0,X14*10%)</f>
        <v>#REF!</v>
      </c>
      <c r="Y15" s="205" t="e">
        <f>IF(借款偿还!AF6&gt;0,0,Y14*10%)</f>
        <v>#REF!</v>
      </c>
      <c r="Z15" s="205" t="e">
        <f>IF(借款偿还!AG6&gt;0,0,Z14*10%)</f>
        <v>#REF!</v>
      </c>
      <c r="AA15" s="205" t="e">
        <f>IF(借款偿还!AH6&gt;0,0,AA14*10%)</f>
        <v>#REF!</v>
      </c>
      <c r="AB15" s="205" t="e">
        <f>IF(借款偿还!AI6&gt;0,0,AB14*10%)</f>
        <v>#REF!</v>
      </c>
      <c r="AC15" s="205" t="e">
        <f>IF(借款偿还!AJ6&gt;0,0,AC14*10%)</f>
        <v>#REF!</v>
      </c>
      <c r="AD15" s="205" t="e">
        <f>IF(借款偿还!AK6&gt;0,0,AD14*10%)</f>
        <v>#REF!</v>
      </c>
      <c r="AE15" s="205" t="e">
        <f>IF(借款偿还!AL6&gt;0,0,AE14*10%)</f>
        <v>#REF!</v>
      </c>
      <c r="AF15" s="205" t="e">
        <f>IF(借款偿还!AM6&gt;0,0,AF14*10%)</f>
        <v>#REF!</v>
      </c>
      <c r="AG15" s="205" t="e">
        <f>IF(借款偿还!AN6&gt;0,0,AG14*10%)</f>
        <v>#REF!</v>
      </c>
      <c r="AH15" s="205" t="e">
        <f t="shared" si="5"/>
        <v>#REF!</v>
      </c>
    </row>
    <row r="16" ht="26.1" hidden="true" customHeight="true" spans="2:34">
      <c r="B16" s="191">
        <v>2</v>
      </c>
      <c r="C16" s="15" t="s">
        <v>713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 t="e">
        <f>IF(借款偿还!AE6&gt;0,0,X14*5%)</f>
        <v>#REF!</v>
      </c>
      <c r="Y16" s="205" t="e">
        <f>IF(借款偿还!AF6&gt;0,0,Y14*5%)</f>
        <v>#REF!</v>
      </c>
      <c r="Z16" s="205" t="e">
        <f>IF(借款偿还!AG6&gt;0,0,Z14*5%)</f>
        <v>#REF!</v>
      </c>
      <c r="AA16" s="205" t="e">
        <f>IF(借款偿还!AH6&gt;0,0,AA14*5%)</f>
        <v>#REF!</v>
      </c>
      <c r="AB16" s="205" t="e">
        <f>IF(借款偿还!AI6&gt;0,0,AB14*5%)</f>
        <v>#REF!</v>
      </c>
      <c r="AC16" s="205" t="e">
        <f>IF(借款偿还!AJ6&gt;0,0,AC14*5%)</f>
        <v>#REF!</v>
      </c>
      <c r="AD16" s="205" t="e">
        <f>IF(借款偿还!AK6&gt;0,0,AD14*5%)</f>
        <v>#REF!</v>
      </c>
      <c r="AE16" s="205" t="e">
        <f>IF(借款偿还!AL6&gt;0,0,AE14*5%)</f>
        <v>#REF!</v>
      </c>
      <c r="AF16" s="205" t="e">
        <f>IF(借款偿还!AM6&gt;0,0,AF14*5%)</f>
        <v>#REF!</v>
      </c>
      <c r="AG16" s="205" t="e">
        <f>IF(借款偿还!AN6&gt;0,0,AG14*5%)</f>
        <v>#REF!</v>
      </c>
      <c r="AH16" s="205" t="e">
        <f t="shared" si="5"/>
        <v>#REF!</v>
      </c>
    </row>
    <row r="17" ht="26.1" customHeight="true" spans="2:34">
      <c r="B17" s="191">
        <v>8.2</v>
      </c>
      <c r="C17" s="15" t="s">
        <v>714</v>
      </c>
      <c r="D17" s="205" t="e">
        <f>借款偿还!K33</f>
        <v>#REF!</v>
      </c>
      <c r="E17" s="205" t="e">
        <f>借款偿还!L33</f>
        <v>#REF!</v>
      </c>
      <c r="F17" s="205" t="e">
        <f>借款偿还!M33</f>
        <v>#REF!</v>
      </c>
      <c r="G17" s="205" t="e">
        <f>借款偿还!N33</f>
        <v>#REF!</v>
      </c>
      <c r="H17" s="205" t="e">
        <f>借款偿还!O33</f>
        <v>#REF!</v>
      </c>
      <c r="I17" s="205" t="e">
        <f>借款偿还!P33</f>
        <v>#REF!</v>
      </c>
      <c r="J17" s="205" t="e">
        <f>借款偿还!Q33</f>
        <v>#REF!</v>
      </c>
      <c r="K17" s="205" t="e">
        <f>借款偿还!R33</f>
        <v>#REF!</v>
      </c>
      <c r="L17" s="205" t="e">
        <f>借款偿还!S33</f>
        <v>#REF!</v>
      </c>
      <c r="M17" s="205" t="e">
        <f>借款偿还!T33</f>
        <v>#REF!</v>
      </c>
      <c r="N17" s="205" t="e">
        <f>借款偿还!U33</f>
        <v>#REF!</v>
      </c>
      <c r="O17" s="205" t="e">
        <f>借款偿还!V33</f>
        <v>#REF!</v>
      </c>
      <c r="P17" s="205" t="e">
        <f>借款偿还!W33</f>
        <v>#REF!</v>
      </c>
      <c r="Q17" s="205" t="e">
        <f>借款偿还!X33</f>
        <v>#REF!</v>
      </c>
      <c r="R17" s="205" t="e">
        <f>借款偿还!Y33</f>
        <v>#REF!</v>
      </c>
      <c r="S17" s="205" t="e">
        <f>借款偿还!Z33</f>
        <v>#REF!</v>
      </c>
      <c r="T17" s="205" t="e">
        <f>借款偿还!AA33</f>
        <v>#REF!</v>
      </c>
      <c r="U17" s="205" t="e">
        <f>借款偿还!AB33</f>
        <v>#REF!</v>
      </c>
      <c r="V17" s="205" t="e">
        <f>借款偿还!AC33</f>
        <v>#REF!</v>
      </c>
      <c r="W17" s="205" t="e">
        <f>借款偿还!AD33</f>
        <v>#REF!</v>
      </c>
      <c r="X17" s="205" t="e">
        <f>借款偿还!AE33</f>
        <v>#REF!</v>
      </c>
      <c r="Y17" s="205" t="e">
        <f>借款偿还!AF33</f>
        <v>#REF!</v>
      </c>
      <c r="Z17" s="205" t="e">
        <f>借款偿还!AG33</f>
        <v>#REF!</v>
      </c>
      <c r="AA17" s="205" t="e">
        <f>借款偿还!AH33</f>
        <v>#REF!</v>
      </c>
      <c r="AB17" s="205" t="e">
        <f>借款偿还!AI33</f>
        <v>#REF!</v>
      </c>
      <c r="AC17" s="205" t="e">
        <f>借款偿还!AJ33</f>
        <v>#REF!</v>
      </c>
      <c r="AD17" s="205" t="e">
        <f>借款偿还!AK33</f>
        <v>#REF!</v>
      </c>
      <c r="AE17" s="205" t="e">
        <f>借款偿还!AL33</f>
        <v>#REF!</v>
      </c>
      <c r="AF17" s="205" t="e">
        <f>借款偿还!AM33</f>
        <v>#REF!</v>
      </c>
      <c r="AG17" s="205" t="e">
        <f>借款偿还!AN33</f>
        <v>#REF!</v>
      </c>
      <c r="AH17" s="205" t="e">
        <f t="shared" si="5"/>
        <v>#REF!</v>
      </c>
    </row>
    <row r="18" ht="26.1" customHeight="true" spans="2:34">
      <c r="B18" s="191">
        <v>8.3</v>
      </c>
      <c r="C18" s="15" t="s">
        <v>715</v>
      </c>
      <c r="D18" s="205" t="e">
        <f t="shared" ref="D18:AG18" si="7">ROUND(D14-D15-D16-D17,2)</f>
        <v>#REF!</v>
      </c>
      <c r="E18" s="205" t="e">
        <f t="shared" si="7"/>
        <v>#REF!</v>
      </c>
      <c r="F18" s="205" t="e">
        <f t="shared" si="7"/>
        <v>#REF!</v>
      </c>
      <c r="G18" s="205" t="e">
        <f t="shared" si="7"/>
        <v>#REF!</v>
      </c>
      <c r="H18" s="205" t="e">
        <f t="shared" si="7"/>
        <v>#REF!</v>
      </c>
      <c r="I18" s="205" t="e">
        <f t="shared" si="7"/>
        <v>#REF!</v>
      </c>
      <c r="J18" s="205" t="e">
        <f t="shared" si="7"/>
        <v>#REF!</v>
      </c>
      <c r="K18" s="205" t="e">
        <f t="shared" si="7"/>
        <v>#REF!</v>
      </c>
      <c r="L18" s="205" t="e">
        <f t="shared" si="7"/>
        <v>#REF!</v>
      </c>
      <c r="M18" s="205" t="e">
        <f t="shared" si="7"/>
        <v>#REF!</v>
      </c>
      <c r="N18" s="205" t="e">
        <f t="shared" si="7"/>
        <v>#REF!</v>
      </c>
      <c r="O18" s="205" t="e">
        <f t="shared" si="7"/>
        <v>#REF!</v>
      </c>
      <c r="P18" s="205" t="e">
        <f t="shared" si="7"/>
        <v>#REF!</v>
      </c>
      <c r="Q18" s="205" t="e">
        <f t="shared" si="7"/>
        <v>#REF!</v>
      </c>
      <c r="R18" s="205" t="e">
        <f t="shared" si="7"/>
        <v>#REF!</v>
      </c>
      <c r="S18" s="205" t="e">
        <f t="shared" si="7"/>
        <v>#REF!</v>
      </c>
      <c r="T18" s="205" t="e">
        <f t="shared" si="7"/>
        <v>#REF!</v>
      </c>
      <c r="U18" s="205" t="e">
        <f t="shared" si="7"/>
        <v>#REF!</v>
      </c>
      <c r="V18" s="205" t="e">
        <f t="shared" si="7"/>
        <v>#REF!</v>
      </c>
      <c r="W18" s="205" t="e">
        <f t="shared" si="7"/>
        <v>#REF!</v>
      </c>
      <c r="X18" s="205" t="e">
        <f t="shared" si="7"/>
        <v>#REF!</v>
      </c>
      <c r="Y18" s="205" t="e">
        <f t="shared" si="7"/>
        <v>#REF!</v>
      </c>
      <c r="Z18" s="205" t="e">
        <f t="shared" si="7"/>
        <v>#REF!</v>
      </c>
      <c r="AA18" s="205" t="e">
        <f t="shared" si="7"/>
        <v>#REF!</v>
      </c>
      <c r="AB18" s="205" t="e">
        <f t="shared" si="7"/>
        <v>#REF!</v>
      </c>
      <c r="AC18" s="205" t="e">
        <f t="shared" si="7"/>
        <v>#REF!</v>
      </c>
      <c r="AD18" s="205" t="e">
        <f t="shared" si="7"/>
        <v>#REF!</v>
      </c>
      <c r="AE18" s="205" t="e">
        <f t="shared" si="7"/>
        <v>#REF!</v>
      </c>
      <c r="AF18" s="205" t="e">
        <f t="shared" si="7"/>
        <v>#REF!</v>
      </c>
      <c r="AG18" s="205" t="e">
        <f t="shared" si="7"/>
        <v>#REF!</v>
      </c>
      <c r="AH18" s="205" t="e">
        <f t="shared" si="5"/>
        <v>#REF!</v>
      </c>
    </row>
    <row r="19" ht="26.1" customHeight="true" spans="2:34">
      <c r="B19" s="11"/>
      <c r="C19" s="15" t="s">
        <v>716</v>
      </c>
      <c r="D19" s="205" t="e">
        <f>D18</f>
        <v>#REF!</v>
      </c>
      <c r="E19" s="205" t="e">
        <f t="shared" ref="E19:AG19" si="8">IF(E4&gt;zq,0,D19+E18)</f>
        <v>#REF!</v>
      </c>
      <c r="F19" s="205" t="e">
        <f t="shared" si="8"/>
        <v>#REF!</v>
      </c>
      <c r="G19" s="205" t="e">
        <f t="shared" si="8"/>
        <v>#REF!</v>
      </c>
      <c r="H19" s="205" t="e">
        <f t="shared" si="8"/>
        <v>#REF!</v>
      </c>
      <c r="I19" s="205" t="e">
        <f t="shared" si="8"/>
        <v>#REF!</v>
      </c>
      <c r="J19" s="205" t="e">
        <f t="shared" si="8"/>
        <v>#REF!</v>
      </c>
      <c r="K19" s="205" t="e">
        <f t="shared" si="8"/>
        <v>#REF!</v>
      </c>
      <c r="L19" s="205" t="e">
        <f t="shared" si="8"/>
        <v>#REF!</v>
      </c>
      <c r="M19" s="205" t="e">
        <f t="shared" si="8"/>
        <v>#REF!</v>
      </c>
      <c r="N19" s="205" t="e">
        <f t="shared" si="8"/>
        <v>#REF!</v>
      </c>
      <c r="O19" s="205" t="e">
        <f t="shared" si="8"/>
        <v>#REF!</v>
      </c>
      <c r="P19" s="205" t="e">
        <f t="shared" si="8"/>
        <v>#REF!</v>
      </c>
      <c r="Q19" s="205" t="e">
        <f t="shared" si="8"/>
        <v>#REF!</v>
      </c>
      <c r="R19" s="205" t="e">
        <f t="shared" si="8"/>
        <v>#REF!</v>
      </c>
      <c r="S19" s="205" t="e">
        <f t="shared" si="8"/>
        <v>#REF!</v>
      </c>
      <c r="T19" s="205" t="e">
        <f t="shared" si="8"/>
        <v>#REF!</v>
      </c>
      <c r="U19" s="205" t="e">
        <f t="shared" si="8"/>
        <v>#REF!</v>
      </c>
      <c r="V19" s="205" t="e">
        <f t="shared" si="8"/>
        <v>#REF!</v>
      </c>
      <c r="W19" s="205" t="e">
        <f t="shared" si="8"/>
        <v>#REF!</v>
      </c>
      <c r="X19" s="205" t="e">
        <f t="shared" si="8"/>
        <v>#REF!</v>
      </c>
      <c r="Y19" s="205" t="e">
        <f t="shared" si="8"/>
        <v>#REF!</v>
      </c>
      <c r="Z19" s="205" t="e">
        <f t="shared" si="8"/>
        <v>#REF!</v>
      </c>
      <c r="AA19" s="205" t="e">
        <f t="shared" si="8"/>
        <v>#REF!</v>
      </c>
      <c r="AB19" s="205" t="e">
        <f t="shared" si="8"/>
        <v>#REF!</v>
      </c>
      <c r="AC19" s="205">
        <f t="shared" si="8"/>
        <v>0</v>
      </c>
      <c r="AD19" s="205">
        <f t="shared" si="8"/>
        <v>0</v>
      </c>
      <c r="AE19" s="205">
        <f t="shared" si="8"/>
        <v>0</v>
      </c>
      <c r="AF19" s="205">
        <f t="shared" si="8"/>
        <v>0</v>
      </c>
      <c r="AG19" s="205">
        <f t="shared" si="8"/>
        <v>0</v>
      </c>
      <c r="AH19" s="205"/>
    </row>
    <row r="20" s="1" customFormat="true" ht="14.25" spans="2:34">
      <c r="B20" s="207"/>
      <c r="C20" s="208" t="s">
        <v>693</v>
      </c>
      <c r="D20" s="209" t="e">
        <f>(AH10/20)/'总表 (2)'!J39</f>
        <v>#REF!</v>
      </c>
      <c r="E20" s="209"/>
      <c r="H20" s="208" t="s">
        <v>694</v>
      </c>
      <c r="I20" s="209" t="e">
        <f ca="1">(AH10/20)/SUM(资金来源运用!G14:资金来源运用!J14)</f>
        <v>#REF!</v>
      </c>
      <c r="J20" s="209"/>
      <c r="AH20" s="228"/>
    </row>
    <row r="21" s="1" customFormat="true" ht="15" spans="2:34">
      <c r="B21" s="210"/>
      <c r="C21" s="211" t="s">
        <v>695</v>
      </c>
      <c r="D21" s="212" t="e">
        <f>((AH10+AH8)/20)/'总表 (2)'!J39</f>
        <v>#REF!</v>
      </c>
      <c r="E21" s="212"/>
      <c r="F21" s="217"/>
      <c r="G21" s="217"/>
      <c r="H21" s="211"/>
      <c r="I21" s="220"/>
      <c r="J21" s="220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29"/>
    </row>
    <row r="22" spans="3:33">
      <c r="C22" s="200" t="s">
        <v>653</v>
      </c>
      <c r="D22" s="213" t="e">
        <f>IF(D12&lt;0,0,(D12+年成本分析!D11)*'总表 (2)'!D53)</f>
        <v>#REF!</v>
      </c>
      <c r="E22" s="213" t="e">
        <f>IF(E12&lt;0,0,(E12+年成本分析!E11)*'总表 (2)'!E53)</f>
        <v>#REF!</v>
      </c>
      <c r="F22" s="213" t="e">
        <f>IF(F12&lt;0,0,(F12+年成本分析!F11)*'总表 (2)'!F53)</f>
        <v>#REF!</v>
      </c>
      <c r="G22" s="213" t="e">
        <f>IF(G12&lt;0,0,(G12+年成本分析!G11)*'总表 (2)'!G53)</f>
        <v>#REF!</v>
      </c>
      <c r="H22" s="213" t="e">
        <f>IF(H12&lt;0,0,(H12+年成本分析!H11)*'总表 (2)'!H53)</f>
        <v>#REF!</v>
      </c>
      <c r="I22" s="213" t="e">
        <f>IF(I12&lt;0,0,(I12+年成本分析!I11)*'总表 (2)'!I53)</f>
        <v>#REF!</v>
      </c>
      <c r="J22" s="213" t="e">
        <f>IF(J12&lt;0,0,(J12+年成本分析!J11)*'总表 (2)'!J53)</f>
        <v>#REF!</v>
      </c>
      <c r="K22" s="213" t="e">
        <f>IF(K12&lt;0,0,(K12+年成本分析!K11)*'总表 (2)'!K53)</f>
        <v>#REF!</v>
      </c>
      <c r="L22" s="213" t="e">
        <f>IF(L12&lt;0,0,(L12+年成本分析!L11)*'总表 (2)'!L53)</f>
        <v>#REF!</v>
      </c>
      <c r="M22" s="213" t="e">
        <f>IF(M12&lt;0,0,(M12+年成本分析!M11)*'总表 (2)'!M53)</f>
        <v>#REF!</v>
      </c>
      <c r="N22" s="213" t="e">
        <f>IF(N12&lt;0,0,(N12+年成本分析!N11)*'总表 (2)'!N53)</f>
        <v>#REF!</v>
      </c>
      <c r="O22" s="213" t="e">
        <f>IF(O12&lt;0,0,(O12+年成本分析!O11)*'总表 (2)'!O53)</f>
        <v>#REF!</v>
      </c>
      <c r="P22" s="213" t="e">
        <f>IF(P12&lt;0,0,(P12+年成本分析!P11)*'总表 (2)'!P53)</f>
        <v>#REF!</v>
      </c>
      <c r="Q22" s="213" t="e">
        <f>IF(Q12&lt;0,0,(Q12+年成本分析!Q11)*'总表 (2)'!Q53)</f>
        <v>#REF!</v>
      </c>
      <c r="R22" s="213" t="e">
        <f>IF(R12&lt;0,0,(R12+年成本分析!R11)*'总表 (2)'!R53)</f>
        <v>#REF!</v>
      </c>
      <c r="S22" s="213" t="e">
        <f>IF(S12&lt;0,0,(S12+年成本分析!S11)*'总表 (2)'!S53)</f>
        <v>#REF!</v>
      </c>
      <c r="T22" s="213" t="e">
        <f>IF(T12&lt;0,0,(T12+年成本分析!T11)*'总表 (2)'!T53)</f>
        <v>#REF!</v>
      </c>
      <c r="U22" s="213" t="e">
        <f>IF(U12&lt;0,0,(U12+年成本分析!U11)*'总表 (2)'!U53)</f>
        <v>#REF!</v>
      </c>
      <c r="V22" s="213" t="e">
        <f>IF(V12&lt;0,0,(V12+年成本分析!V11)*'总表 (2)'!V53)</f>
        <v>#REF!</v>
      </c>
      <c r="W22" s="213" t="e">
        <f>IF(W12&lt;0,0,(W12+年成本分析!W11)*'总表 (2)'!W53)</f>
        <v>#REF!</v>
      </c>
      <c r="X22" s="213" t="e">
        <f>IF(X12&lt;0,0,(X12+年成本分析!X11)*'总表 (2)'!X53)</f>
        <v>#REF!</v>
      </c>
      <c r="Y22" s="213" t="e">
        <f>IF(Y12&lt;0,0,(Y12+年成本分析!Y11)*'总表 (2)'!Y53)</f>
        <v>#REF!</v>
      </c>
      <c r="Z22" s="213" t="e">
        <f>IF(Z12&lt;0,0,(Z12+年成本分析!Z11)*'总表 (2)'!Z53)</f>
        <v>#REF!</v>
      </c>
      <c r="AA22" s="213" t="e">
        <f>IF(AA12&lt;0,0,(AA12+年成本分析!AA11)*'总表 (2)'!AA53)</f>
        <v>#REF!</v>
      </c>
      <c r="AB22" s="213" t="e">
        <f>IF(AB12&lt;0,0,(AB12+年成本分析!AB11)*'总表 (2)'!AB53)</f>
        <v>#REF!</v>
      </c>
      <c r="AC22" s="213">
        <f>IF(AC12&lt;0,0,(AC12+年成本分析!AC11)*'总表 (2)'!AC53)</f>
        <v>0</v>
      </c>
      <c r="AD22" s="213">
        <f>IF(AD12&lt;0,0,(AD12+年成本分析!AD11)*'总表 (2)'!AD53)</f>
        <v>0</v>
      </c>
      <c r="AE22" s="213">
        <f>IF(AE12&lt;0,0,(AE12+年成本分析!AE11)*'总表 (2)'!AE53)</f>
        <v>0</v>
      </c>
      <c r="AF22" s="213">
        <f>IF(AF12&lt;0,0,(AF12+年成本分析!AF11)*'总表 (2)'!AF53)</f>
        <v>0</v>
      </c>
      <c r="AG22" s="213">
        <f>IF(AG12&lt;0,0,(AG12+年成本分析!AG11)*'总表 (2)'!AG53)</f>
        <v>0</v>
      </c>
    </row>
    <row r="23" s="1" customFormat="true" ht="14.25" spans="2:14">
      <c r="B23" s="214"/>
      <c r="C23" s="215" t="s">
        <v>696</v>
      </c>
      <c r="E23" s="218">
        <f>'总表 (2)'!D49</f>
        <v>4.56</v>
      </c>
      <c r="F23" s="208" t="s">
        <v>697</v>
      </c>
      <c r="K23" s="221"/>
      <c r="M23" s="223"/>
      <c r="N23" s="221"/>
    </row>
    <row r="24" s="1" customFormat="true" ht="14.25" spans="2:14">
      <c r="B24" s="214"/>
      <c r="K24" s="221"/>
      <c r="N24" s="221"/>
    </row>
    <row r="25" hidden="true" spans="4:23">
      <c r="D25" s="200" t="e">
        <f t="shared" ref="D25:W25" si="9">IF(D10-D11&gt;0,1,0)</f>
        <v>#REF!</v>
      </c>
      <c r="E25" s="200" t="e">
        <f t="shared" si="9"/>
        <v>#REF!</v>
      </c>
      <c r="F25" s="200" t="e">
        <f t="shared" si="9"/>
        <v>#REF!</v>
      </c>
      <c r="G25" s="200" t="e">
        <f t="shared" si="9"/>
        <v>#REF!</v>
      </c>
      <c r="H25" s="200" t="e">
        <f t="shared" si="9"/>
        <v>#REF!</v>
      </c>
      <c r="I25" s="200" t="e">
        <f t="shared" si="9"/>
        <v>#REF!</v>
      </c>
      <c r="J25" s="200" t="e">
        <f t="shared" si="9"/>
        <v>#REF!</v>
      </c>
      <c r="K25" s="200" t="e">
        <f t="shared" si="9"/>
        <v>#REF!</v>
      </c>
      <c r="L25" s="200" t="e">
        <f t="shared" si="9"/>
        <v>#REF!</v>
      </c>
      <c r="M25" s="200" t="e">
        <f t="shared" si="9"/>
        <v>#REF!</v>
      </c>
      <c r="N25" s="200" t="e">
        <f t="shared" si="9"/>
        <v>#REF!</v>
      </c>
      <c r="O25" s="200" t="e">
        <f t="shared" si="9"/>
        <v>#REF!</v>
      </c>
      <c r="P25" s="200" t="e">
        <f t="shared" si="9"/>
        <v>#REF!</v>
      </c>
      <c r="Q25" s="200" t="e">
        <f t="shared" si="9"/>
        <v>#REF!</v>
      </c>
      <c r="R25" s="200" t="e">
        <f t="shared" si="9"/>
        <v>#REF!</v>
      </c>
      <c r="S25" s="200" t="e">
        <f t="shared" si="9"/>
        <v>#REF!</v>
      </c>
      <c r="T25" s="200" t="e">
        <f t="shared" si="9"/>
        <v>#REF!</v>
      </c>
      <c r="U25" s="200" t="e">
        <f t="shared" si="9"/>
        <v>#REF!</v>
      </c>
      <c r="V25" s="200" t="e">
        <f t="shared" si="9"/>
        <v>#REF!</v>
      </c>
      <c r="W25" s="200" t="e">
        <f t="shared" si="9"/>
        <v>#REF!</v>
      </c>
    </row>
    <row r="26" hidden="true" spans="4:23">
      <c r="D26" s="200" t="e">
        <f>D25</f>
        <v>#REF!</v>
      </c>
      <c r="E26" s="200" t="e">
        <f t="shared" ref="E26:W26" si="10">E25+D26</f>
        <v>#REF!</v>
      </c>
      <c r="F26" s="200" t="e">
        <f t="shared" si="10"/>
        <v>#REF!</v>
      </c>
      <c r="G26" s="200" t="e">
        <f t="shared" si="10"/>
        <v>#REF!</v>
      </c>
      <c r="H26" s="200" t="e">
        <f t="shared" si="10"/>
        <v>#REF!</v>
      </c>
      <c r="I26" s="200" t="e">
        <f t="shared" si="10"/>
        <v>#REF!</v>
      </c>
      <c r="J26" s="200" t="e">
        <f t="shared" si="10"/>
        <v>#REF!</v>
      </c>
      <c r="K26" s="200" t="e">
        <f t="shared" si="10"/>
        <v>#REF!</v>
      </c>
      <c r="L26" s="200" t="e">
        <f t="shared" si="10"/>
        <v>#REF!</v>
      </c>
      <c r="M26" s="200" t="e">
        <f t="shared" si="10"/>
        <v>#REF!</v>
      </c>
      <c r="N26" s="200" t="e">
        <f t="shared" si="10"/>
        <v>#REF!</v>
      </c>
      <c r="O26" s="200" t="e">
        <f t="shared" si="10"/>
        <v>#REF!</v>
      </c>
      <c r="P26" s="200" t="e">
        <f t="shared" si="10"/>
        <v>#REF!</v>
      </c>
      <c r="Q26" s="200" t="e">
        <f t="shared" si="10"/>
        <v>#REF!</v>
      </c>
      <c r="R26" s="200" t="e">
        <f t="shared" si="10"/>
        <v>#REF!</v>
      </c>
      <c r="S26" s="200" t="e">
        <f t="shared" si="10"/>
        <v>#REF!</v>
      </c>
      <c r="T26" s="200" t="e">
        <f t="shared" si="10"/>
        <v>#REF!</v>
      </c>
      <c r="U26" s="200" t="e">
        <f t="shared" si="10"/>
        <v>#REF!</v>
      </c>
      <c r="V26" s="200" t="e">
        <f t="shared" si="10"/>
        <v>#REF!</v>
      </c>
      <c r="W26" s="200" t="e">
        <f t="shared" si="10"/>
        <v>#REF!</v>
      </c>
    </row>
    <row r="27" hidden="true" spans="4:33">
      <c r="D27" s="200" t="e">
        <f t="shared" ref="D27:W27" si="11">IF(D26=0,0,IF(D26&lt;=1,$D$28,IF(D26&lt;=5,$E$28,$F$28)))</f>
        <v>#REF!</v>
      </c>
      <c r="E27" s="200" t="e">
        <f t="shared" si="11"/>
        <v>#REF!</v>
      </c>
      <c r="F27" s="200" t="e">
        <f t="shared" si="11"/>
        <v>#REF!</v>
      </c>
      <c r="G27" s="200" t="e">
        <f t="shared" si="11"/>
        <v>#REF!</v>
      </c>
      <c r="H27" s="200" t="e">
        <f t="shared" si="11"/>
        <v>#REF!</v>
      </c>
      <c r="I27" s="200" t="e">
        <f t="shared" si="11"/>
        <v>#REF!</v>
      </c>
      <c r="J27" s="200" t="e">
        <f t="shared" si="11"/>
        <v>#REF!</v>
      </c>
      <c r="K27" s="200" t="e">
        <f t="shared" si="11"/>
        <v>#REF!</v>
      </c>
      <c r="L27" s="200" t="e">
        <f t="shared" si="11"/>
        <v>#REF!</v>
      </c>
      <c r="M27" s="200" t="e">
        <f t="shared" si="11"/>
        <v>#REF!</v>
      </c>
      <c r="N27" s="200" t="e">
        <f t="shared" si="11"/>
        <v>#REF!</v>
      </c>
      <c r="O27" s="200" t="e">
        <f t="shared" si="11"/>
        <v>#REF!</v>
      </c>
      <c r="P27" s="200" t="e">
        <f t="shared" si="11"/>
        <v>#REF!</v>
      </c>
      <c r="Q27" s="200" t="e">
        <f t="shared" si="11"/>
        <v>#REF!</v>
      </c>
      <c r="R27" s="200" t="e">
        <f t="shared" si="11"/>
        <v>#REF!</v>
      </c>
      <c r="S27" s="200" t="e">
        <f t="shared" si="11"/>
        <v>#REF!</v>
      </c>
      <c r="T27" s="200" t="e">
        <f t="shared" si="11"/>
        <v>#REF!</v>
      </c>
      <c r="U27" s="200" t="e">
        <f t="shared" si="11"/>
        <v>#REF!</v>
      </c>
      <c r="V27" s="200" t="e">
        <f t="shared" si="11"/>
        <v>#REF!</v>
      </c>
      <c r="W27" s="200" t="e">
        <f t="shared" si="11"/>
        <v>#REF!</v>
      </c>
      <c r="X27" s="200">
        <f>IF(X26=0,0,IF(X26&lt;=2,0,IF(X26&lt;=5,0.5,1)))</f>
        <v>0</v>
      </c>
      <c r="Y27" s="200">
        <f>IF(Y26=0,0,IF(Y26&lt;=2,0,IF(Y26&lt;=5,0.5,1)))</f>
        <v>0</v>
      </c>
      <c r="AE27" s="200">
        <f t="shared" ref="AE27:AG27" si="12">IF(AE26=0,0,IF(AE26&lt;=2,0,IF(AE26&lt;=5,0.5,1)))</f>
        <v>0</v>
      </c>
      <c r="AF27" s="200">
        <f t="shared" si="12"/>
        <v>0</v>
      </c>
      <c r="AG27" s="200">
        <f t="shared" si="12"/>
        <v>0</v>
      </c>
    </row>
    <row r="28" hidden="true" spans="4:6">
      <c r="D28" s="200">
        <v>0</v>
      </c>
      <c r="E28" s="200">
        <v>1</v>
      </c>
      <c r="F28" s="200">
        <v>1</v>
      </c>
    </row>
    <row r="29" hidden="true" spans="4:14">
      <c r="D29" s="216" t="e">
        <f>AH18+AH15+AH16</f>
        <v>#REF!</v>
      </c>
      <c r="E29" s="216"/>
      <c r="F29" s="219" t="e">
        <f>SUM(借款偿还!K26:Z26)</f>
        <v>#REF!</v>
      </c>
      <c r="G29" s="219"/>
      <c r="H29" s="216" t="e">
        <f>D29-F29</f>
        <v>#REF!</v>
      </c>
      <c r="I29" s="216"/>
      <c r="J29" s="219" t="e">
        <f>H29/20</f>
        <v>#REF!</v>
      </c>
      <c r="K29" s="219"/>
      <c r="L29" s="222" t="e">
        <f ca="1">J29/SUM(资金来源运用!G14:资金来源运用!J14)</f>
        <v>#REF!</v>
      </c>
      <c r="M29" s="222"/>
      <c r="N29" s="224" t="e">
        <f ca="1">D29/20/SUM(资金来源运用!G14:资金来源运用!J14)</f>
        <v>#REF!</v>
      </c>
    </row>
    <row r="30" ht="14.25" hidden="true" spans="3:4">
      <c r="C30" s="208" t="s">
        <v>698</v>
      </c>
      <c r="D30" s="1">
        <f>E23*0.8*0.8</f>
        <v>2.9184</v>
      </c>
    </row>
    <row r="31" hidden="true"/>
    <row r="32" hidden="true" spans="4:33">
      <c r="D32" s="213">
        <f>D11</f>
        <v>0</v>
      </c>
      <c r="E32" s="213" t="e">
        <f t="shared" ref="E32:W32" si="13">D32+E11</f>
        <v>#REF!</v>
      </c>
      <c r="F32" s="213" t="e">
        <f t="shared" si="13"/>
        <v>#REF!</v>
      </c>
      <c r="G32" s="213" t="e">
        <f t="shared" si="13"/>
        <v>#REF!</v>
      </c>
      <c r="H32" s="213" t="e">
        <f t="shared" si="13"/>
        <v>#REF!</v>
      </c>
      <c r="I32" s="213" t="e">
        <f t="shared" si="13"/>
        <v>#REF!</v>
      </c>
      <c r="J32" s="213" t="e">
        <f t="shared" si="13"/>
        <v>#REF!</v>
      </c>
      <c r="K32" s="213" t="e">
        <f t="shared" si="13"/>
        <v>#REF!</v>
      </c>
      <c r="L32" s="213" t="e">
        <f t="shared" si="13"/>
        <v>#REF!</v>
      </c>
      <c r="M32" s="213" t="e">
        <f t="shared" si="13"/>
        <v>#REF!</v>
      </c>
      <c r="N32" s="213" t="e">
        <f t="shared" si="13"/>
        <v>#REF!</v>
      </c>
      <c r="O32" s="213" t="e">
        <f t="shared" si="13"/>
        <v>#REF!</v>
      </c>
      <c r="P32" s="213" t="e">
        <f t="shared" si="13"/>
        <v>#REF!</v>
      </c>
      <c r="Q32" s="213" t="e">
        <f t="shared" si="13"/>
        <v>#REF!</v>
      </c>
      <c r="R32" s="213" t="e">
        <f t="shared" si="13"/>
        <v>#REF!</v>
      </c>
      <c r="S32" s="213" t="e">
        <f t="shared" si="13"/>
        <v>#REF!</v>
      </c>
      <c r="T32" s="213" t="e">
        <f t="shared" si="13"/>
        <v>#REF!</v>
      </c>
      <c r="U32" s="213" t="e">
        <f t="shared" si="13"/>
        <v>#REF!</v>
      </c>
      <c r="V32" s="213" t="e">
        <f t="shared" si="13"/>
        <v>#REF!</v>
      </c>
      <c r="W32" s="213" t="e">
        <f t="shared" si="13"/>
        <v>#REF!</v>
      </c>
      <c r="X32" s="213" t="e">
        <f>W11+X11</f>
        <v>#REF!</v>
      </c>
      <c r="Y32" s="213" t="e">
        <f>X11+Y11</f>
        <v>#REF!</v>
      </c>
      <c r="Z32" s="213"/>
      <c r="AA32" s="213"/>
      <c r="AB32" s="213"/>
      <c r="AC32" s="213"/>
      <c r="AD32" s="213"/>
      <c r="AE32" s="213" t="e">
        <f>Y11+AE11</f>
        <v>#REF!</v>
      </c>
      <c r="AF32" s="213">
        <f>AE11+AF11</f>
        <v>0</v>
      </c>
      <c r="AG32" s="213">
        <f>AF11+AG11</f>
        <v>0</v>
      </c>
    </row>
    <row r="33" hidden="true" spans="4:34">
      <c r="D33" s="200" t="e">
        <f t="shared" ref="D33:W33" si="14">IF(D10&lt;0,D10,0)</f>
        <v>#REF!</v>
      </c>
      <c r="E33" s="200" t="e">
        <f t="shared" si="14"/>
        <v>#REF!</v>
      </c>
      <c r="F33" s="200" t="e">
        <f t="shared" si="14"/>
        <v>#REF!</v>
      </c>
      <c r="G33" s="200" t="e">
        <f t="shared" si="14"/>
        <v>#REF!</v>
      </c>
      <c r="H33" s="200" t="e">
        <f t="shared" si="14"/>
        <v>#REF!</v>
      </c>
      <c r="I33" s="200" t="e">
        <f t="shared" si="14"/>
        <v>#REF!</v>
      </c>
      <c r="J33" s="200" t="e">
        <f t="shared" si="14"/>
        <v>#REF!</v>
      </c>
      <c r="K33" s="200" t="e">
        <f t="shared" si="14"/>
        <v>#REF!</v>
      </c>
      <c r="L33" s="200" t="e">
        <f t="shared" si="14"/>
        <v>#REF!</v>
      </c>
      <c r="M33" s="200" t="e">
        <f t="shared" si="14"/>
        <v>#REF!</v>
      </c>
      <c r="N33" s="200" t="e">
        <f t="shared" si="14"/>
        <v>#REF!</v>
      </c>
      <c r="O33" s="200" t="e">
        <f t="shared" si="14"/>
        <v>#REF!</v>
      </c>
      <c r="P33" s="200" t="e">
        <f t="shared" si="14"/>
        <v>#REF!</v>
      </c>
      <c r="Q33" s="200" t="e">
        <f t="shared" si="14"/>
        <v>#REF!</v>
      </c>
      <c r="R33" s="200" t="e">
        <f t="shared" si="14"/>
        <v>#REF!</v>
      </c>
      <c r="S33" s="200" t="e">
        <f t="shared" si="14"/>
        <v>#REF!</v>
      </c>
      <c r="T33" s="200" t="e">
        <f t="shared" si="14"/>
        <v>#REF!</v>
      </c>
      <c r="U33" s="200" t="e">
        <f t="shared" si="14"/>
        <v>#REF!</v>
      </c>
      <c r="V33" s="200" t="e">
        <f t="shared" si="14"/>
        <v>#REF!</v>
      </c>
      <c r="W33" s="200" t="e">
        <f t="shared" si="14"/>
        <v>#REF!</v>
      </c>
      <c r="AH33" s="200" t="e">
        <f>SUM(D33:W33)</f>
        <v>#REF!</v>
      </c>
    </row>
    <row r="34" hidden="true" spans="4:23">
      <c r="D34" s="200" t="e">
        <f t="shared" ref="D34:W34" si="15">IF(D10&lt;0,0,D10)</f>
        <v>#REF!</v>
      </c>
      <c r="E34" s="200" t="e">
        <f t="shared" si="15"/>
        <v>#REF!</v>
      </c>
      <c r="F34" s="200" t="e">
        <f t="shared" si="15"/>
        <v>#REF!</v>
      </c>
      <c r="G34" s="200" t="e">
        <f t="shared" si="15"/>
        <v>#REF!</v>
      </c>
      <c r="H34" s="200" t="e">
        <f t="shared" si="15"/>
        <v>#REF!</v>
      </c>
      <c r="I34" s="200" t="e">
        <f t="shared" si="15"/>
        <v>#REF!</v>
      </c>
      <c r="J34" s="200" t="e">
        <f t="shared" si="15"/>
        <v>#REF!</v>
      </c>
      <c r="K34" s="200" t="e">
        <f t="shared" si="15"/>
        <v>#REF!</v>
      </c>
      <c r="L34" s="200" t="e">
        <f t="shared" si="15"/>
        <v>#REF!</v>
      </c>
      <c r="M34" s="200" t="e">
        <f t="shared" si="15"/>
        <v>#REF!</v>
      </c>
      <c r="N34" s="200" t="e">
        <f t="shared" si="15"/>
        <v>#REF!</v>
      </c>
      <c r="O34" s="200" t="e">
        <f t="shared" si="15"/>
        <v>#REF!</v>
      </c>
      <c r="P34" s="200" t="e">
        <f t="shared" si="15"/>
        <v>#REF!</v>
      </c>
      <c r="Q34" s="200" t="e">
        <f t="shared" si="15"/>
        <v>#REF!</v>
      </c>
      <c r="R34" s="200" t="e">
        <f t="shared" si="15"/>
        <v>#REF!</v>
      </c>
      <c r="S34" s="200" t="e">
        <f t="shared" si="15"/>
        <v>#REF!</v>
      </c>
      <c r="T34" s="200" t="e">
        <f t="shared" si="15"/>
        <v>#REF!</v>
      </c>
      <c r="U34" s="200" t="e">
        <f t="shared" si="15"/>
        <v>#REF!</v>
      </c>
      <c r="V34" s="200" t="e">
        <f t="shared" si="15"/>
        <v>#REF!</v>
      </c>
      <c r="W34" s="200" t="e">
        <f t="shared" si="15"/>
        <v>#REF!</v>
      </c>
    </row>
    <row r="35" hidden="true" spans="4:23">
      <c r="D35" s="213" t="e">
        <f t="shared" ref="D35:W35" si="16">D32+$AH$33</f>
        <v>#REF!</v>
      </c>
      <c r="E35" s="213" t="e">
        <f t="shared" si="16"/>
        <v>#REF!</v>
      </c>
      <c r="F35" s="213" t="e">
        <f t="shared" si="16"/>
        <v>#REF!</v>
      </c>
      <c r="G35" s="213" t="e">
        <f t="shared" si="16"/>
        <v>#REF!</v>
      </c>
      <c r="H35" s="213" t="e">
        <f t="shared" si="16"/>
        <v>#REF!</v>
      </c>
      <c r="I35" s="213" t="e">
        <f t="shared" si="16"/>
        <v>#REF!</v>
      </c>
      <c r="J35" s="213" t="e">
        <f t="shared" si="16"/>
        <v>#REF!</v>
      </c>
      <c r="K35" s="213" t="e">
        <f t="shared" si="16"/>
        <v>#REF!</v>
      </c>
      <c r="L35" s="213" t="e">
        <f t="shared" si="16"/>
        <v>#REF!</v>
      </c>
      <c r="M35" s="213" t="e">
        <f t="shared" si="16"/>
        <v>#REF!</v>
      </c>
      <c r="N35" s="213" t="e">
        <f t="shared" si="16"/>
        <v>#REF!</v>
      </c>
      <c r="O35" s="213" t="e">
        <f t="shared" si="16"/>
        <v>#REF!</v>
      </c>
      <c r="P35" s="213" t="e">
        <f t="shared" si="16"/>
        <v>#REF!</v>
      </c>
      <c r="Q35" s="213" t="e">
        <f t="shared" si="16"/>
        <v>#REF!</v>
      </c>
      <c r="R35" s="213" t="e">
        <f t="shared" si="16"/>
        <v>#REF!</v>
      </c>
      <c r="S35" s="213" t="e">
        <f t="shared" si="16"/>
        <v>#REF!</v>
      </c>
      <c r="T35" s="213" t="e">
        <f t="shared" si="16"/>
        <v>#REF!</v>
      </c>
      <c r="U35" s="213" t="e">
        <f t="shared" si="16"/>
        <v>#REF!</v>
      </c>
      <c r="V35" s="213" t="e">
        <f t="shared" si="16"/>
        <v>#REF!</v>
      </c>
      <c r="W35" s="213" t="e">
        <f t="shared" si="16"/>
        <v>#REF!</v>
      </c>
    </row>
    <row r="36" hidden="true" spans="4:33">
      <c r="D36" s="200" t="e">
        <f t="shared" ref="D36:W36" si="17">IF(C35+D34&lt;0,D34,-C35)</f>
        <v>#REF!</v>
      </c>
      <c r="E36" s="200" t="e">
        <f t="shared" si="17"/>
        <v>#REF!</v>
      </c>
      <c r="F36" s="200" t="e">
        <f t="shared" si="17"/>
        <v>#REF!</v>
      </c>
      <c r="G36" s="200" t="e">
        <f t="shared" si="17"/>
        <v>#REF!</v>
      </c>
      <c r="H36" s="200" t="e">
        <f t="shared" si="17"/>
        <v>#REF!</v>
      </c>
      <c r="I36" s="200" t="e">
        <f t="shared" si="17"/>
        <v>#REF!</v>
      </c>
      <c r="J36" s="200" t="e">
        <f t="shared" si="17"/>
        <v>#REF!</v>
      </c>
      <c r="K36" s="200" t="e">
        <f t="shared" si="17"/>
        <v>#REF!</v>
      </c>
      <c r="L36" s="200" t="e">
        <f t="shared" si="17"/>
        <v>#REF!</v>
      </c>
      <c r="M36" s="200" t="e">
        <f t="shared" si="17"/>
        <v>#REF!</v>
      </c>
      <c r="N36" s="200" t="e">
        <f t="shared" si="17"/>
        <v>#REF!</v>
      </c>
      <c r="O36" s="200" t="e">
        <f t="shared" si="17"/>
        <v>#REF!</v>
      </c>
      <c r="P36" s="200" t="e">
        <f t="shared" si="17"/>
        <v>#REF!</v>
      </c>
      <c r="Q36" s="200" t="e">
        <f t="shared" si="17"/>
        <v>#REF!</v>
      </c>
      <c r="R36" s="200" t="e">
        <f t="shared" si="17"/>
        <v>#REF!</v>
      </c>
      <c r="S36" s="200" t="e">
        <f t="shared" si="17"/>
        <v>#REF!</v>
      </c>
      <c r="T36" s="200" t="e">
        <f t="shared" si="17"/>
        <v>#REF!</v>
      </c>
      <c r="U36" s="200" t="e">
        <f t="shared" si="17"/>
        <v>#REF!</v>
      </c>
      <c r="V36" s="200" t="e">
        <f t="shared" si="17"/>
        <v>#REF!</v>
      </c>
      <c r="W36" s="200" t="e">
        <f t="shared" si="17"/>
        <v>#REF!</v>
      </c>
      <c r="X36" s="200" t="e">
        <f>IF(W35+X34&lt;0,X34,-X34-W35)</f>
        <v>#REF!</v>
      </c>
      <c r="Y36" s="200">
        <f>IF(X35+Y34&lt;0,Y34,-Y34-X35)</f>
        <v>0</v>
      </c>
      <c r="AE36" s="200">
        <f>IF(Y35+AE34&lt;0,AE34,-AE34-Y35)</f>
        <v>0</v>
      </c>
      <c r="AF36" s="200">
        <f>IF(AE35+AF34&lt;0,AF34,-AF34-AE35)</f>
        <v>0</v>
      </c>
      <c r="AG36" s="200">
        <f>IF(AF35+AG34&lt;0,AG34,-AG34-AF35)</f>
        <v>0</v>
      </c>
    </row>
    <row r="37" hidden="true" spans="4:33">
      <c r="D37" s="200" t="e">
        <f t="shared" ref="D37:Y37" si="18">IF(D36&gt;0,D36,0)</f>
        <v>#REF!</v>
      </c>
      <c r="E37" s="200" t="e">
        <f t="shared" si="18"/>
        <v>#REF!</v>
      </c>
      <c r="F37" s="200" t="e">
        <f t="shared" si="18"/>
        <v>#REF!</v>
      </c>
      <c r="G37" s="200" t="e">
        <f t="shared" si="18"/>
        <v>#REF!</v>
      </c>
      <c r="H37" s="200" t="e">
        <f t="shared" si="18"/>
        <v>#REF!</v>
      </c>
      <c r="I37" s="200" t="e">
        <f t="shared" si="18"/>
        <v>#REF!</v>
      </c>
      <c r="J37" s="200" t="e">
        <f t="shared" si="18"/>
        <v>#REF!</v>
      </c>
      <c r="K37" s="200" t="e">
        <f t="shared" si="18"/>
        <v>#REF!</v>
      </c>
      <c r="L37" s="200" t="e">
        <f t="shared" si="18"/>
        <v>#REF!</v>
      </c>
      <c r="M37" s="200" t="e">
        <f t="shared" si="18"/>
        <v>#REF!</v>
      </c>
      <c r="N37" s="200" t="e">
        <f t="shared" si="18"/>
        <v>#REF!</v>
      </c>
      <c r="O37" s="200" t="e">
        <f t="shared" si="18"/>
        <v>#REF!</v>
      </c>
      <c r="P37" s="200" t="e">
        <f t="shared" si="18"/>
        <v>#REF!</v>
      </c>
      <c r="Q37" s="200" t="e">
        <f t="shared" si="18"/>
        <v>#REF!</v>
      </c>
      <c r="R37" s="200" t="e">
        <f t="shared" si="18"/>
        <v>#REF!</v>
      </c>
      <c r="S37" s="200" t="e">
        <f t="shared" si="18"/>
        <v>#REF!</v>
      </c>
      <c r="T37" s="200" t="e">
        <f t="shared" si="18"/>
        <v>#REF!</v>
      </c>
      <c r="U37" s="200" t="e">
        <f t="shared" si="18"/>
        <v>#REF!</v>
      </c>
      <c r="V37" s="200" t="e">
        <f t="shared" si="18"/>
        <v>#REF!</v>
      </c>
      <c r="W37" s="200" t="e">
        <f t="shared" si="18"/>
        <v>#REF!</v>
      </c>
      <c r="X37" s="200" t="e">
        <f t="shared" si="18"/>
        <v>#REF!</v>
      </c>
      <c r="Y37" s="200">
        <f t="shared" si="18"/>
        <v>0</v>
      </c>
      <c r="AE37" s="200">
        <f t="shared" ref="AE37:AG37" si="19">IF(AE36&gt;0,AE36,0)</f>
        <v>0</v>
      </c>
      <c r="AF37" s="200">
        <f t="shared" si="19"/>
        <v>0</v>
      </c>
      <c r="AG37" s="200">
        <f t="shared" si="19"/>
        <v>0</v>
      </c>
    </row>
    <row r="38" hidden="true" spans="5:7">
      <c r="E38" s="213"/>
      <c r="F38" s="213"/>
      <c r="G38" s="213"/>
    </row>
    <row r="39" hidden="true" spans="4:34">
      <c r="D39" s="213" t="e">
        <f>D10+年成本分析!D11+年成本分析!D18+年成本分析!D19</f>
        <v>#REF!</v>
      </c>
      <c r="E39" s="213" t="e">
        <f>E10+年成本分析!E11+年成本分析!E18+年成本分析!E19</f>
        <v>#REF!</v>
      </c>
      <c r="F39" s="213" t="e">
        <f>F10+年成本分析!F11+年成本分析!F18+年成本分析!F19</f>
        <v>#REF!</v>
      </c>
      <c r="G39" s="213" t="e">
        <f>G10+年成本分析!G11+年成本分析!G18+年成本分析!G19</f>
        <v>#REF!</v>
      </c>
      <c r="H39" s="213" t="e">
        <f>H10+年成本分析!H11+年成本分析!H18+年成本分析!H19</f>
        <v>#REF!</v>
      </c>
      <c r="I39" s="213" t="e">
        <f>I10+年成本分析!I11+年成本分析!I18+年成本分析!I19</f>
        <v>#REF!</v>
      </c>
      <c r="J39" s="213" t="e">
        <f>J10+年成本分析!J11+年成本分析!J18+年成本分析!J19</f>
        <v>#REF!</v>
      </c>
      <c r="K39" s="213" t="e">
        <f>K10+年成本分析!K11+年成本分析!K18+年成本分析!K19</f>
        <v>#REF!</v>
      </c>
      <c r="L39" s="213" t="e">
        <f>L10+年成本分析!L11+年成本分析!L18+年成本分析!L19</f>
        <v>#REF!</v>
      </c>
      <c r="M39" s="213" t="e">
        <f>M10+年成本分析!M11+年成本分析!M18+年成本分析!M19</f>
        <v>#REF!</v>
      </c>
      <c r="N39" s="213" t="e">
        <f>N10+年成本分析!N11+年成本分析!N18+年成本分析!N19</f>
        <v>#REF!</v>
      </c>
      <c r="O39" s="213" t="e">
        <f>O10+年成本分析!O11+年成本分析!O18+年成本分析!O19</f>
        <v>#REF!</v>
      </c>
      <c r="P39" s="213" t="e">
        <f>P10+年成本分析!P11+年成本分析!P18+年成本分析!P19</f>
        <v>#REF!</v>
      </c>
      <c r="Q39" s="213" t="e">
        <f>Q10+年成本分析!Q11+年成本分析!Q18+年成本分析!Q19</f>
        <v>#REF!</v>
      </c>
      <c r="R39" s="213" t="e">
        <f>R10+年成本分析!R11+年成本分析!R18+年成本分析!R19</f>
        <v>#REF!</v>
      </c>
      <c r="S39" s="213" t="e">
        <f>S10+年成本分析!S11+年成本分析!S18+年成本分析!S19</f>
        <v>#REF!</v>
      </c>
      <c r="T39" s="213" t="e">
        <f>T10+年成本分析!T11+年成本分析!T18+年成本分析!T19</f>
        <v>#REF!</v>
      </c>
      <c r="U39" s="213" t="e">
        <f>U10+年成本分析!U11+年成本分析!U18+年成本分析!U19</f>
        <v>#REF!</v>
      </c>
      <c r="V39" s="213" t="e">
        <f>V10+年成本分析!V11+年成本分析!V18+年成本分析!V19</f>
        <v>#REF!</v>
      </c>
      <c r="W39" s="213" t="e">
        <f>W10+年成本分析!W11+年成本分析!W18+年成本分析!W19</f>
        <v>#REF!</v>
      </c>
      <c r="X39" s="213" t="e">
        <f>X10+年成本分析!X11+年成本分析!X18+年成本分析!X19</f>
        <v>#REF!</v>
      </c>
      <c r="Y39" s="213" t="e">
        <f>Y10+年成本分析!Y11+年成本分析!Y18+年成本分析!Y19</f>
        <v>#REF!</v>
      </c>
      <c r="Z39" s="213"/>
      <c r="AA39" s="213"/>
      <c r="AB39" s="213"/>
      <c r="AC39" s="213"/>
      <c r="AD39" s="213"/>
      <c r="AE39" s="213">
        <f>AE10+年成本分析!AE11+年成本分析!AE18+年成本分析!AE19</f>
        <v>0</v>
      </c>
      <c r="AF39" s="213">
        <f>AF10+年成本分析!AF11+年成本分析!AF18+年成本分析!AF19</f>
        <v>0</v>
      </c>
      <c r="AG39" s="213">
        <f>AG10+年成本分析!AG11+年成本分析!AG18+年成本分析!AG19</f>
        <v>0</v>
      </c>
      <c r="AH39" s="213" t="e">
        <f>SUM(D39:AG39)</f>
        <v>#REF!</v>
      </c>
    </row>
    <row r="40" hidden="true" spans="34:34">
      <c r="AH40" s="230" t="e">
        <f>AH39/20</f>
        <v>#REF!</v>
      </c>
    </row>
    <row r="41" hidden="true" spans="34:34">
      <c r="AH41" s="230" t="e">
        <f>AH14/20</f>
        <v>#REF!</v>
      </c>
    </row>
  </sheetData>
  <mergeCells count="12">
    <mergeCell ref="B1:AH1"/>
    <mergeCell ref="B2:AH2"/>
    <mergeCell ref="D3:AG3"/>
    <mergeCell ref="D20:E20"/>
    <mergeCell ref="I20:J20"/>
    <mergeCell ref="D21:E21"/>
    <mergeCell ref="D29:E29"/>
    <mergeCell ref="F29:G29"/>
    <mergeCell ref="H29:I29"/>
    <mergeCell ref="J29:K29"/>
    <mergeCell ref="L29:M29"/>
    <mergeCell ref="AH3:AH4"/>
  </mergeCells>
  <pageMargins left="0.65" right="0.15748031496063" top="1.5" bottom="0.236220472440945" header="1.04" footer="0.15748031496063"/>
  <pageSetup paperSize="9" scale="65" orientation="landscape"/>
  <headerFooter alignWithMargins="0">
    <oddHeader>&amp;R&amp;"Times New Roman,常规"&amp;14
&amp;"宋体,常规"          &amp;"Times New Roman,常规"&amp;12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N44"/>
  <sheetViews>
    <sheetView showZeros="0" workbookViewId="0">
      <selection activeCell="M31" sqref="M31"/>
    </sheetView>
  </sheetViews>
  <sheetFormatPr defaultColWidth="10" defaultRowHeight="10.5"/>
  <cols>
    <col min="1" max="1" width="2.125" style="2" customWidth="true"/>
    <col min="2" max="2" width="5.25" style="2" customWidth="true"/>
    <col min="3" max="3" width="16.125" style="2" customWidth="true"/>
    <col min="4" max="5" width="8.125" style="2" hidden="true" customWidth="true"/>
    <col min="6" max="6" width="6.625" style="2" hidden="true" customWidth="true"/>
    <col min="7" max="7" width="6.875" style="2" hidden="true" customWidth="true"/>
    <col min="8" max="8" width="7.5" style="2" hidden="true" customWidth="true"/>
    <col min="9" max="9" width="7.5" style="2" customWidth="true"/>
    <col min="10" max="10" width="6.875" style="2" customWidth="true"/>
    <col min="11" max="11" width="5.75" style="2" customWidth="true"/>
    <col min="12" max="12" width="5.875" style="2" customWidth="true"/>
    <col min="13" max="13" width="6" style="2" customWidth="true"/>
    <col min="14" max="14" width="5.875" style="2" customWidth="true"/>
    <col min="15" max="15" width="5.75" style="2" customWidth="true"/>
    <col min="16" max="16" width="6.25" style="2" customWidth="true"/>
    <col min="17" max="17" width="6" style="2" customWidth="true"/>
    <col min="18" max="18" width="5.75" style="2" customWidth="true"/>
    <col min="19" max="19" width="5.875" style="2" customWidth="true"/>
    <col min="20" max="20" width="6" style="2" customWidth="true"/>
    <col min="21" max="21" width="5.75" style="2" customWidth="true"/>
    <col min="22" max="22" width="5.875" style="2" customWidth="true"/>
    <col min="23" max="23" width="5.75" style="2" customWidth="true"/>
    <col min="24" max="27" width="6.125" style="2" customWidth="true"/>
    <col min="28" max="29" width="5.75" style="2" customWidth="true"/>
    <col min="30" max="39" width="6.125" style="2" hidden="true" customWidth="true"/>
    <col min="40" max="40" width="6.875" style="2" customWidth="true"/>
    <col min="41" max="16384" width="10" style="2"/>
  </cols>
  <sheetData>
    <row r="1" s="1" customFormat="true" ht="22.5" customHeight="true" spans="2:40">
      <c r="B1" s="122" t="s">
        <v>717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ht="14.25" customHeight="true" spans="2:40">
      <c r="B2" s="23" t="s">
        <v>718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ht="0.75" customHeight="true" spans="2:40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</row>
    <row r="4" s="1" customFormat="true" ht="14.25" spans="2:40">
      <c r="B4" s="125" t="s">
        <v>493</v>
      </c>
      <c r="C4" s="126" t="s">
        <v>618</v>
      </c>
      <c r="D4" s="41" t="s">
        <v>512</v>
      </c>
      <c r="E4" s="171"/>
      <c r="F4" s="171"/>
      <c r="G4" s="171"/>
      <c r="H4" s="171"/>
      <c r="I4" s="174"/>
      <c r="J4" s="41" t="s">
        <v>621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4"/>
      <c r="AN4" s="145" t="s">
        <v>305</v>
      </c>
    </row>
    <row r="5" s="1" customFormat="true" ht="14.25" spans="2:40">
      <c r="B5" s="127" t="s">
        <v>496</v>
      </c>
      <c r="C5" s="8" t="s">
        <v>475</v>
      </c>
      <c r="D5" s="9">
        <f t="shared" ref="D5:H5" si="0">E5-1</f>
        <v>-3</v>
      </c>
      <c r="E5" s="9">
        <f t="shared" si="0"/>
        <v>-2</v>
      </c>
      <c r="F5" s="9">
        <f t="shared" si="0"/>
        <v>-1</v>
      </c>
      <c r="G5" s="9">
        <f t="shared" si="0"/>
        <v>0</v>
      </c>
      <c r="H5" s="9">
        <f t="shared" si="0"/>
        <v>1</v>
      </c>
      <c r="I5" s="9">
        <f>现金流量!I5</f>
        <v>2</v>
      </c>
      <c r="J5" s="32">
        <f t="shared" ref="J5:AM5" si="1">I5+1</f>
        <v>3</v>
      </c>
      <c r="K5" s="32">
        <f t="shared" si="1"/>
        <v>4</v>
      </c>
      <c r="L5" s="32">
        <f t="shared" si="1"/>
        <v>5</v>
      </c>
      <c r="M5" s="32">
        <f t="shared" si="1"/>
        <v>6</v>
      </c>
      <c r="N5" s="32">
        <f t="shared" si="1"/>
        <v>7</v>
      </c>
      <c r="O5" s="32">
        <f t="shared" si="1"/>
        <v>8</v>
      </c>
      <c r="P5" s="32">
        <f t="shared" si="1"/>
        <v>9</v>
      </c>
      <c r="Q5" s="32">
        <f t="shared" si="1"/>
        <v>10</v>
      </c>
      <c r="R5" s="32">
        <f t="shared" si="1"/>
        <v>11</v>
      </c>
      <c r="S5" s="32">
        <f t="shared" si="1"/>
        <v>12</v>
      </c>
      <c r="T5" s="32">
        <f t="shared" si="1"/>
        <v>13</v>
      </c>
      <c r="U5" s="32">
        <f t="shared" si="1"/>
        <v>14</v>
      </c>
      <c r="V5" s="32">
        <f t="shared" si="1"/>
        <v>15</v>
      </c>
      <c r="W5" s="32">
        <f t="shared" si="1"/>
        <v>16</v>
      </c>
      <c r="X5" s="32">
        <f t="shared" si="1"/>
        <v>17</v>
      </c>
      <c r="Y5" s="32">
        <f t="shared" si="1"/>
        <v>18</v>
      </c>
      <c r="Z5" s="32">
        <f t="shared" si="1"/>
        <v>19</v>
      </c>
      <c r="AA5" s="32">
        <f t="shared" si="1"/>
        <v>20</v>
      </c>
      <c r="AB5" s="32">
        <f t="shared" si="1"/>
        <v>21</v>
      </c>
      <c r="AC5" s="32">
        <f t="shared" si="1"/>
        <v>22</v>
      </c>
      <c r="AD5" s="32">
        <f t="shared" si="1"/>
        <v>23</v>
      </c>
      <c r="AE5" s="32">
        <f t="shared" si="1"/>
        <v>24</v>
      </c>
      <c r="AF5" s="32">
        <f t="shared" si="1"/>
        <v>25</v>
      </c>
      <c r="AG5" s="32">
        <f t="shared" si="1"/>
        <v>26</v>
      </c>
      <c r="AH5" s="32">
        <f t="shared" si="1"/>
        <v>27</v>
      </c>
      <c r="AI5" s="32">
        <f t="shared" si="1"/>
        <v>28</v>
      </c>
      <c r="AJ5" s="32">
        <f t="shared" si="1"/>
        <v>29</v>
      </c>
      <c r="AK5" s="32">
        <f t="shared" si="1"/>
        <v>30</v>
      </c>
      <c r="AL5" s="32">
        <f t="shared" si="1"/>
        <v>31</v>
      </c>
      <c r="AM5" s="32">
        <f t="shared" si="1"/>
        <v>32</v>
      </c>
      <c r="AN5" s="145"/>
    </row>
    <row r="6" s="1" customFormat="true" ht="15" customHeight="true" spans="2:40">
      <c r="B6" s="11"/>
      <c r="C6" s="11" t="s">
        <v>630</v>
      </c>
      <c r="D6" s="12"/>
      <c r="E6" s="12"/>
      <c r="F6" s="12"/>
      <c r="G6" s="12"/>
      <c r="H6" s="25"/>
      <c r="I6" s="193"/>
      <c r="J6" s="194">
        <f>现金流量!J6</f>
        <v>0.8</v>
      </c>
      <c r="K6" s="194">
        <f>现金流量!K6</f>
        <v>0.9</v>
      </c>
      <c r="L6" s="194">
        <f>现金流量!L6</f>
        <v>1</v>
      </c>
      <c r="M6" s="194">
        <f>现金流量!M6</f>
        <v>1</v>
      </c>
      <c r="N6" s="194">
        <f>现金流量!N6</f>
        <v>1</v>
      </c>
      <c r="O6" s="194">
        <f>现金流量!O6</f>
        <v>1</v>
      </c>
      <c r="P6" s="194">
        <f>现金流量!P6</f>
        <v>1</v>
      </c>
      <c r="Q6" s="194">
        <f>现金流量!Q6</f>
        <v>1</v>
      </c>
      <c r="R6" s="194">
        <f>现金流量!R6</f>
        <v>1</v>
      </c>
      <c r="S6" s="194">
        <f>现金流量!S6</f>
        <v>1</v>
      </c>
      <c r="T6" s="194">
        <f>现金流量!T6</f>
        <v>1</v>
      </c>
      <c r="U6" s="194">
        <f>现金流量!U6</f>
        <v>1</v>
      </c>
      <c r="V6" s="194">
        <f>现金流量!V6</f>
        <v>1</v>
      </c>
      <c r="W6" s="194">
        <f>现金流量!W6</f>
        <v>1</v>
      </c>
      <c r="X6" s="194">
        <f>现金流量!X6</f>
        <v>1</v>
      </c>
      <c r="Y6" s="194">
        <f>现金流量!Y6</f>
        <v>1</v>
      </c>
      <c r="Z6" s="194">
        <f>现金流量!Z6</f>
        <v>1</v>
      </c>
      <c r="AA6" s="194">
        <f>现金流量!AA6</f>
        <v>1</v>
      </c>
      <c r="AB6" s="194">
        <f>现金流量!AB6</f>
        <v>1</v>
      </c>
      <c r="AC6" s="194">
        <f>现金流量!AC6</f>
        <v>1</v>
      </c>
      <c r="AD6" s="194">
        <f>现金流量!AD6</f>
        <v>1</v>
      </c>
      <c r="AE6" s="194">
        <f>现金流量!AE6</f>
        <v>1</v>
      </c>
      <c r="AF6" s="194">
        <f>现金流量!AF6</f>
        <v>1</v>
      </c>
      <c r="AG6" s="194">
        <f>现金流量!AG6</f>
        <v>1</v>
      </c>
      <c r="AH6" s="194">
        <f>现金流量!AH6</f>
        <v>1</v>
      </c>
      <c r="AI6" s="194">
        <f>现金流量!AI6</f>
        <v>0</v>
      </c>
      <c r="AJ6" s="194">
        <f>现金流量!AJ6</f>
        <v>0</v>
      </c>
      <c r="AK6" s="194">
        <f>现金流量!AK6</f>
        <v>0</v>
      </c>
      <c r="AL6" s="194">
        <f>现金流量!AL6</f>
        <v>0</v>
      </c>
      <c r="AM6" s="194">
        <f>现金流量!AM6</f>
        <v>0</v>
      </c>
      <c r="AN6" s="199"/>
    </row>
    <row r="7" ht="15" customHeight="true" spans="2:40">
      <c r="B7" s="191">
        <v>1</v>
      </c>
      <c r="C7" s="15" t="s">
        <v>719</v>
      </c>
      <c r="D7" s="15"/>
      <c r="E7" s="15"/>
      <c r="F7" s="26"/>
      <c r="G7" s="26"/>
      <c r="H7" s="26"/>
      <c r="I7" s="178"/>
      <c r="J7" s="178" t="e">
        <f t="shared" ref="J7:AM7" si="2">J8-J13</f>
        <v>#REF!</v>
      </c>
      <c r="K7" s="178" t="e">
        <f t="shared" si="2"/>
        <v>#REF!</v>
      </c>
      <c r="L7" s="178" t="e">
        <f t="shared" si="2"/>
        <v>#REF!</v>
      </c>
      <c r="M7" s="178" t="e">
        <f t="shared" si="2"/>
        <v>#REF!</v>
      </c>
      <c r="N7" s="178" t="e">
        <f t="shared" si="2"/>
        <v>#REF!</v>
      </c>
      <c r="O7" s="178" t="e">
        <f t="shared" si="2"/>
        <v>#REF!</v>
      </c>
      <c r="P7" s="178" t="e">
        <f t="shared" si="2"/>
        <v>#REF!</v>
      </c>
      <c r="Q7" s="178" t="e">
        <f t="shared" si="2"/>
        <v>#REF!</v>
      </c>
      <c r="R7" s="178" t="e">
        <f t="shared" si="2"/>
        <v>#REF!</v>
      </c>
      <c r="S7" s="178" t="e">
        <f t="shared" si="2"/>
        <v>#REF!</v>
      </c>
      <c r="T7" s="178" t="e">
        <f t="shared" si="2"/>
        <v>#REF!</v>
      </c>
      <c r="U7" s="178" t="e">
        <f t="shared" si="2"/>
        <v>#REF!</v>
      </c>
      <c r="V7" s="178" t="e">
        <f t="shared" si="2"/>
        <v>#REF!</v>
      </c>
      <c r="W7" s="178" t="e">
        <f t="shared" si="2"/>
        <v>#REF!</v>
      </c>
      <c r="X7" s="178" t="e">
        <f t="shared" si="2"/>
        <v>#REF!</v>
      </c>
      <c r="Y7" s="178" t="e">
        <f t="shared" si="2"/>
        <v>#REF!</v>
      </c>
      <c r="Z7" s="178" t="e">
        <f t="shared" si="2"/>
        <v>#REF!</v>
      </c>
      <c r="AA7" s="178" t="e">
        <f t="shared" si="2"/>
        <v>#REF!</v>
      </c>
      <c r="AB7" s="178" t="e">
        <f t="shared" si="2"/>
        <v>#REF!</v>
      </c>
      <c r="AC7" s="178" t="e">
        <f t="shared" si="2"/>
        <v>#REF!</v>
      </c>
      <c r="AD7" s="178" t="e">
        <f t="shared" si="2"/>
        <v>#REF!</v>
      </c>
      <c r="AE7" s="178" t="e">
        <f t="shared" si="2"/>
        <v>#REF!</v>
      </c>
      <c r="AF7" s="178" t="e">
        <f t="shared" si="2"/>
        <v>#REF!</v>
      </c>
      <c r="AG7" s="178" t="e">
        <f t="shared" si="2"/>
        <v>#REF!</v>
      </c>
      <c r="AH7" s="178" t="e">
        <f t="shared" si="2"/>
        <v>#REF!</v>
      </c>
      <c r="AI7" s="178">
        <f t="shared" si="2"/>
        <v>0</v>
      </c>
      <c r="AJ7" s="178">
        <f t="shared" si="2"/>
        <v>0</v>
      </c>
      <c r="AK7" s="178">
        <f t="shared" si="2"/>
        <v>0</v>
      </c>
      <c r="AL7" s="178">
        <f t="shared" si="2"/>
        <v>0</v>
      </c>
      <c r="AM7" s="178">
        <f t="shared" si="2"/>
        <v>0</v>
      </c>
      <c r="AN7" s="178" t="e">
        <f t="shared" ref="AN7:AN40" si="3">SUM(D7:AM7)</f>
        <v>#REF!</v>
      </c>
    </row>
    <row r="8" ht="15" customHeight="true" spans="2:40">
      <c r="B8" s="191">
        <v>1.1</v>
      </c>
      <c r="C8" s="15" t="s">
        <v>642</v>
      </c>
      <c r="D8" s="15"/>
      <c r="E8" s="15"/>
      <c r="F8" s="26"/>
      <c r="G8" s="26"/>
      <c r="H8" s="26"/>
      <c r="I8" s="178"/>
      <c r="J8" s="178">
        <f t="shared" ref="J8:AM8" si="4">SUM(J9:J12)</f>
        <v>7879.68</v>
      </c>
      <c r="K8" s="178">
        <f t="shared" si="4"/>
        <v>8864.64</v>
      </c>
      <c r="L8" s="178">
        <f t="shared" si="4"/>
        <v>9849.6</v>
      </c>
      <c r="M8" s="178">
        <f t="shared" si="4"/>
        <v>9849.6</v>
      </c>
      <c r="N8" s="178">
        <f t="shared" si="4"/>
        <v>9849.6</v>
      </c>
      <c r="O8" s="178">
        <f t="shared" si="4"/>
        <v>9849.6</v>
      </c>
      <c r="P8" s="178">
        <f t="shared" si="4"/>
        <v>9849.6</v>
      </c>
      <c r="Q8" s="178">
        <f t="shared" si="4"/>
        <v>9849.6</v>
      </c>
      <c r="R8" s="178">
        <f t="shared" si="4"/>
        <v>9849.6</v>
      </c>
      <c r="S8" s="178">
        <f t="shared" si="4"/>
        <v>9849.6</v>
      </c>
      <c r="T8" s="178">
        <f t="shared" si="4"/>
        <v>9849.6</v>
      </c>
      <c r="U8" s="178">
        <f t="shared" si="4"/>
        <v>9849.6</v>
      </c>
      <c r="V8" s="178">
        <f t="shared" si="4"/>
        <v>9849.6</v>
      </c>
      <c r="W8" s="178">
        <f t="shared" si="4"/>
        <v>9849.6</v>
      </c>
      <c r="X8" s="178">
        <f t="shared" si="4"/>
        <v>9849.6</v>
      </c>
      <c r="Y8" s="178">
        <f t="shared" si="4"/>
        <v>9849.6</v>
      </c>
      <c r="Z8" s="178">
        <f t="shared" si="4"/>
        <v>9849.6</v>
      </c>
      <c r="AA8" s="178">
        <f t="shared" si="4"/>
        <v>9849.6</v>
      </c>
      <c r="AB8" s="178">
        <f t="shared" si="4"/>
        <v>9849.6</v>
      </c>
      <c r="AC8" s="178">
        <f t="shared" si="4"/>
        <v>9849.6</v>
      </c>
      <c r="AD8" s="178">
        <f t="shared" si="4"/>
        <v>9849.6</v>
      </c>
      <c r="AE8" s="178">
        <f t="shared" si="4"/>
        <v>9849.6</v>
      </c>
      <c r="AF8" s="178">
        <f t="shared" si="4"/>
        <v>9849.6</v>
      </c>
      <c r="AG8" s="178">
        <f t="shared" si="4"/>
        <v>9849.6</v>
      </c>
      <c r="AH8" s="178">
        <f t="shared" si="4"/>
        <v>9849.6</v>
      </c>
      <c r="AI8" s="178">
        <f t="shared" si="4"/>
        <v>0</v>
      </c>
      <c r="AJ8" s="178">
        <f t="shared" si="4"/>
        <v>0</v>
      </c>
      <c r="AK8" s="178">
        <f t="shared" si="4"/>
        <v>0</v>
      </c>
      <c r="AL8" s="178">
        <f t="shared" si="4"/>
        <v>0</v>
      </c>
      <c r="AM8" s="178">
        <f t="shared" si="4"/>
        <v>0</v>
      </c>
      <c r="AN8" s="178">
        <f t="shared" si="3"/>
        <v>243285.12</v>
      </c>
    </row>
    <row r="9" ht="15" customHeight="true" spans="2:40">
      <c r="B9" s="191" t="s">
        <v>720</v>
      </c>
      <c r="C9" s="15" t="s">
        <v>721</v>
      </c>
      <c r="D9" s="15"/>
      <c r="E9" s="15"/>
      <c r="F9" s="26"/>
      <c r="G9" s="26"/>
      <c r="H9" s="26"/>
      <c r="I9" s="178"/>
      <c r="J9" s="178">
        <f>损益表!D6</f>
        <v>7879.68</v>
      </c>
      <c r="K9" s="178">
        <f>损益表!E6</f>
        <v>8864.64</v>
      </c>
      <c r="L9" s="178">
        <f>损益表!F6</f>
        <v>9849.6</v>
      </c>
      <c r="M9" s="178">
        <f>损益表!G6</f>
        <v>9849.6</v>
      </c>
      <c r="N9" s="178">
        <f>损益表!H6</f>
        <v>9849.6</v>
      </c>
      <c r="O9" s="178">
        <f>损益表!I6</f>
        <v>9849.6</v>
      </c>
      <c r="P9" s="178">
        <f>损益表!J6</f>
        <v>9849.6</v>
      </c>
      <c r="Q9" s="178">
        <f>损益表!K6</f>
        <v>9849.6</v>
      </c>
      <c r="R9" s="178">
        <f>损益表!L6</f>
        <v>9849.6</v>
      </c>
      <c r="S9" s="178">
        <f>损益表!M6</f>
        <v>9849.6</v>
      </c>
      <c r="T9" s="178">
        <f>损益表!N6</f>
        <v>9849.6</v>
      </c>
      <c r="U9" s="178">
        <f>损益表!O6</f>
        <v>9849.6</v>
      </c>
      <c r="V9" s="178">
        <f>损益表!P6</f>
        <v>9849.6</v>
      </c>
      <c r="W9" s="178">
        <f>损益表!Q6</f>
        <v>9849.6</v>
      </c>
      <c r="X9" s="178">
        <f>损益表!R6</f>
        <v>9849.6</v>
      </c>
      <c r="Y9" s="178">
        <f>损益表!S6</f>
        <v>9849.6</v>
      </c>
      <c r="Z9" s="178">
        <f>损益表!T6</f>
        <v>9849.6</v>
      </c>
      <c r="AA9" s="178">
        <f>损益表!U6</f>
        <v>9849.6</v>
      </c>
      <c r="AB9" s="178">
        <f>损益表!V6</f>
        <v>9849.6</v>
      </c>
      <c r="AC9" s="178">
        <f>损益表!W6</f>
        <v>9849.6</v>
      </c>
      <c r="AD9" s="178">
        <f>损益表!X6</f>
        <v>9849.6</v>
      </c>
      <c r="AE9" s="178">
        <f>损益表!Y6</f>
        <v>9849.6</v>
      </c>
      <c r="AF9" s="178">
        <f>损益表!Z6</f>
        <v>9849.6</v>
      </c>
      <c r="AG9" s="178">
        <f>损益表!AA6</f>
        <v>9849.6</v>
      </c>
      <c r="AH9" s="178">
        <f>损益表!AB6</f>
        <v>9849.6</v>
      </c>
      <c r="AI9" s="178">
        <f>损益表!AC6</f>
        <v>0</v>
      </c>
      <c r="AJ9" s="178">
        <f>损益表!AD6</f>
        <v>0</v>
      </c>
      <c r="AK9" s="178">
        <f>损益表!AE6</f>
        <v>0</v>
      </c>
      <c r="AL9" s="178">
        <f>损益表!AF6</f>
        <v>0</v>
      </c>
      <c r="AM9" s="178">
        <f>损益表!AG6</f>
        <v>0</v>
      </c>
      <c r="AN9" s="178">
        <f t="shared" si="3"/>
        <v>243285.12</v>
      </c>
    </row>
    <row r="10" ht="15" hidden="true" customHeight="true" spans="2:40">
      <c r="B10" s="191" t="s">
        <v>722</v>
      </c>
      <c r="C10" s="15" t="s">
        <v>687</v>
      </c>
      <c r="D10" s="15"/>
      <c r="E10" s="15"/>
      <c r="F10" s="26"/>
      <c r="G10" s="26"/>
      <c r="H10" s="26"/>
      <c r="I10" s="178"/>
      <c r="J10" s="195"/>
      <c r="K10" s="195"/>
      <c r="L10" s="195"/>
      <c r="M10" s="195"/>
      <c r="N10" s="195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>
        <f t="shared" si="3"/>
        <v>0</v>
      </c>
    </row>
    <row r="11" ht="15" customHeight="true" spans="2:40">
      <c r="B11" s="191" t="s">
        <v>722</v>
      </c>
      <c r="C11" s="15" t="s">
        <v>723</v>
      </c>
      <c r="D11" s="17"/>
      <c r="E11" s="17"/>
      <c r="F11" s="26"/>
      <c r="G11" s="26"/>
      <c r="H11" s="26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>
        <f t="shared" si="3"/>
        <v>0</v>
      </c>
    </row>
    <row r="12" ht="15" customHeight="true" spans="2:40">
      <c r="B12" s="191" t="s">
        <v>724</v>
      </c>
      <c r="C12" s="15" t="s">
        <v>725</v>
      </c>
      <c r="D12" s="15"/>
      <c r="E12" s="15"/>
      <c r="F12" s="26"/>
      <c r="G12" s="26"/>
      <c r="H12" s="26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>
        <f t="shared" si="3"/>
        <v>0</v>
      </c>
    </row>
    <row r="13" ht="15" customHeight="true" spans="2:40">
      <c r="B13" s="191">
        <v>1.2</v>
      </c>
      <c r="C13" s="15" t="s">
        <v>649</v>
      </c>
      <c r="D13" s="15"/>
      <c r="E13" s="15"/>
      <c r="F13" s="26"/>
      <c r="G13" s="26"/>
      <c r="H13" s="26"/>
      <c r="I13" s="178"/>
      <c r="J13" s="196" t="e">
        <f t="shared" ref="J13:AM13" si="5">SUM(J14:J19)</f>
        <v>#REF!</v>
      </c>
      <c r="K13" s="196" t="e">
        <f t="shared" si="5"/>
        <v>#REF!</v>
      </c>
      <c r="L13" s="196" t="e">
        <f t="shared" si="5"/>
        <v>#REF!</v>
      </c>
      <c r="M13" s="196" t="e">
        <f t="shared" si="5"/>
        <v>#REF!</v>
      </c>
      <c r="N13" s="196" t="e">
        <f t="shared" si="5"/>
        <v>#REF!</v>
      </c>
      <c r="O13" s="196" t="e">
        <f t="shared" si="5"/>
        <v>#REF!</v>
      </c>
      <c r="P13" s="196" t="e">
        <f t="shared" si="5"/>
        <v>#REF!</v>
      </c>
      <c r="Q13" s="196" t="e">
        <f t="shared" si="5"/>
        <v>#REF!</v>
      </c>
      <c r="R13" s="196" t="e">
        <f t="shared" si="5"/>
        <v>#REF!</v>
      </c>
      <c r="S13" s="196" t="e">
        <f t="shared" si="5"/>
        <v>#REF!</v>
      </c>
      <c r="T13" s="196" t="e">
        <f t="shared" si="5"/>
        <v>#REF!</v>
      </c>
      <c r="U13" s="196" t="e">
        <f t="shared" si="5"/>
        <v>#REF!</v>
      </c>
      <c r="V13" s="196" t="e">
        <f t="shared" si="5"/>
        <v>#REF!</v>
      </c>
      <c r="W13" s="196" t="e">
        <f t="shared" si="5"/>
        <v>#REF!</v>
      </c>
      <c r="X13" s="196" t="e">
        <f t="shared" si="5"/>
        <v>#REF!</v>
      </c>
      <c r="Y13" s="196" t="e">
        <f t="shared" si="5"/>
        <v>#REF!</v>
      </c>
      <c r="Z13" s="196" t="e">
        <f t="shared" si="5"/>
        <v>#REF!</v>
      </c>
      <c r="AA13" s="196" t="e">
        <f t="shared" si="5"/>
        <v>#REF!</v>
      </c>
      <c r="AB13" s="196" t="e">
        <f t="shared" si="5"/>
        <v>#REF!</v>
      </c>
      <c r="AC13" s="196" t="e">
        <f t="shared" si="5"/>
        <v>#REF!</v>
      </c>
      <c r="AD13" s="196" t="e">
        <f t="shared" si="5"/>
        <v>#REF!</v>
      </c>
      <c r="AE13" s="196" t="e">
        <f t="shared" si="5"/>
        <v>#REF!</v>
      </c>
      <c r="AF13" s="196" t="e">
        <f t="shared" si="5"/>
        <v>#REF!</v>
      </c>
      <c r="AG13" s="196" t="e">
        <f t="shared" si="5"/>
        <v>#REF!</v>
      </c>
      <c r="AH13" s="196" t="e">
        <f t="shared" si="5"/>
        <v>#REF!</v>
      </c>
      <c r="AI13" s="196">
        <f t="shared" si="5"/>
        <v>0</v>
      </c>
      <c r="AJ13" s="196">
        <f t="shared" si="5"/>
        <v>0</v>
      </c>
      <c r="AK13" s="196">
        <f t="shared" si="5"/>
        <v>0</v>
      </c>
      <c r="AL13" s="196">
        <f t="shared" si="5"/>
        <v>0</v>
      </c>
      <c r="AM13" s="196">
        <f t="shared" si="5"/>
        <v>0</v>
      </c>
      <c r="AN13" s="178" t="e">
        <f t="shared" si="3"/>
        <v>#REF!</v>
      </c>
    </row>
    <row r="14" ht="15" customHeight="true" spans="2:40">
      <c r="B14" s="191" t="s">
        <v>726</v>
      </c>
      <c r="C14" s="15" t="s">
        <v>651</v>
      </c>
      <c r="D14" s="15"/>
      <c r="E14" s="15"/>
      <c r="F14" s="26"/>
      <c r="G14" s="26"/>
      <c r="H14" s="26"/>
      <c r="I14" s="178"/>
      <c r="J14" s="178" t="e">
        <f>资本金现金流量!J20</f>
        <v>#REF!</v>
      </c>
      <c r="K14" s="178" t="e">
        <f>资本金现金流量!K20</f>
        <v>#REF!</v>
      </c>
      <c r="L14" s="178" t="e">
        <f>资本金现金流量!L20</f>
        <v>#REF!</v>
      </c>
      <c r="M14" s="178" t="e">
        <f>资本金现金流量!M20</f>
        <v>#REF!</v>
      </c>
      <c r="N14" s="178" t="e">
        <f>资本金现金流量!N20</f>
        <v>#REF!</v>
      </c>
      <c r="O14" s="178" t="e">
        <f>资本金现金流量!O20</f>
        <v>#REF!</v>
      </c>
      <c r="P14" s="178" t="e">
        <f>资本金现金流量!P20</f>
        <v>#REF!</v>
      </c>
      <c r="Q14" s="178" t="e">
        <f>资本金现金流量!Q20</f>
        <v>#REF!</v>
      </c>
      <c r="R14" s="178" t="e">
        <f>资本金现金流量!R20</f>
        <v>#REF!</v>
      </c>
      <c r="S14" s="178" t="e">
        <f>资本金现金流量!S20</f>
        <v>#REF!</v>
      </c>
      <c r="T14" s="178" t="e">
        <f>资本金现金流量!T20</f>
        <v>#REF!</v>
      </c>
      <c r="U14" s="178" t="e">
        <f>资本金现金流量!U20</f>
        <v>#REF!</v>
      </c>
      <c r="V14" s="178" t="e">
        <f>资本金现金流量!V20</f>
        <v>#REF!</v>
      </c>
      <c r="W14" s="178" t="e">
        <f>资本金现金流量!W20</f>
        <v>#REF!</v>
      </c>
      <c r="X14" s="178" t="e">
        <f>资本金现金流量!X20</f>
        <v>#REF!</v>
      </c>
      <c r="Y14" s="178" t="e">
        <f>资本金现金流量!Y20</f>
        <v>#REF!</v>
      </c>
      <c r="Z14" s="178" t="e">
        <f>资本金现金流量!Z20</f>
        <v>#REF!</v>
      </c>
      <c r="AA14" s="178" t="e">
        <f>资本金现金流量!AA20</f>
        <v>#REF!</v>
      </c>
      <c r="AB14" s="178" t="e">
        <f>资本金现金流量!AB20</f>
        <v>#REF!</v>
      </c>
      <c r="AC14" s="178" t="e">
        <f>资本金现金流量!AC20</f>
        <v>#REF!</v>
      </c>
      <c r="AD14" s="178" t="e">
        <f>资本金现金流量!AD20</f>
        <v>#REF!</v>
      </c>
      <c r="AE14" s="178" t="e">
        <f>资本金现金流量!AE20</f>
        <v>#REF!</v>
      </c>
      <c r="AF14" s="178" t="e">
        <f>资本金现金流量!AF20</f>
        <v>#REF!</v>
      </c>
      <c r="AG14" s="178" t="e">
        <f>资本金现金流量!AG20</f>
        <v>#REF!</v>
      </c>
      <c r="AH14" s="178" t="e">
        <f>资本金现金流量!AH20</f>
        <v>#REF!</v>
      </c>
      <c r="AI14" s="178">
        <f>资本金现金流量!AI20</f>
        <v>0</v>
      </c>
      <c r="AJ14" s="178">
        <f>资本金现金流量!AJ20</f>
        <v>0</v>
      </c>
      <c r="AK14" s="178">
        <f>资本金现金流量!AK20</f>
        <v>0</v>
      </c>
      <c r="AL14" s="178">
        <f>资本金现金流量!AL20</f>
        <v>0</v>
      </c>
      <c r="AM14" s="178">
        <f>资本金现金流量!AM20</f>
        <v>0</v>
      </c>
      <c r="AN14" s="178" t="e">
        <f t="shared" si="3"/>
        <v>#REF!</v>
      </c>
    </row>
    <row r="15" ht="15" hidden="true" customHeight="true" spans="2:40">
      <c r="B15" s="191" t="s">
        <v>727</v>
      </c>
      <c r="C15" s="15" t="s">
        <v>688</v>
      </c>
      <c r="D15" s="17"/>
      <c r="E15" s="17"/>
      <c r="F15" s="26"/>
      <c r="G15" s="26"/>
      <c r="H15" s="26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>
        <f t="shared" si="3"/>
        <v>0</v>
      </c>
    </row>
    <row r="16" ht="15" hidden="true" customHeight="true" spans="2:40">
      <c r="B16" s="191" t="s">
        <v>727</v>
      </c>
      <c r="C16" s="15" t="s">
        <v>728</v>
      </c>
      <c r="D16" s="15"/>
      <c r="E16" s="15"/>
      <c r="F16" s="26"/>
      <c r="G16" s="26"/>
      <c r="H16" s="26"/>
      <c r="I16" s="178"/>
      <c r="J16" s="178">
        <f>资本金现金流量!J22</f>
        <v>0</v>
      </c>
      <c r="K16" s="178">
        <f>资本金现金流量!K22</f>
        <v>0</v>
      </c>
      <c r="L16" s="178">
        <f>资本金现金流量!L22</f>
        <v>0</v>
      </c>
      <c r="M16" s="178">
        <f>资本金现金流量!M22</f>
        <v>0</v>
      </c>
      <c r="N16" s="178">
        <f>资本金现金流量!N22</f>
        <v>0</v>
      </c>
      <c r="O16" s="178">
        <f>资本金现金流量!O22</f>
        <v>0</v>
      </c>
      <c r="P16" s="178">
        <f>资本金现金流量!P22</f>
        <v>0</v>
      </c>
      <c r="Q16" s="178">
        <f>资本金现金流量!Q22</f>
        <v>0</v>
      </c>
      <c r="R16" s="178">
        <f>资本金现金流量!R22</f>
        <v>0</v>
      </c>
      <c r="S16" s="178">
        <f>资本金现金流量!S22</f>
        <v>0</v>
      </c>
      <c r="T16" s="178">
        <f>资本金现金流量!T22</f>
        <v>0</v>
      </c>
      <c r="U16" s="178">
        <f>资本金现金流量!U22</f>
        <v>0</v>
      </c>
      <c r="V16" s="178">
        <f>资本金现金流量!V22</f>
        <v>0</v>
      </c>
      <c r="W16" s="178">
        <f>资本金现金流量!W22</f>
        <v>0</v>
      </c>
      <c r="X16" s="178">
        <f>资本金现金流量!X22</f>
        <v>0</v>
      </c>
      <c r="Y16" s="178">
        <f>资本金现金流量!Y22</f>
        <v>0</v>
      </c>
      <c r="Z16" s="178">
        <f>资本金现金流量!Z22</f>
        <v>0</v>
      </c>
      <c r="AA16" s="178">
        <f>资本金现金流量!AA22</f>
        <v>0</v>
      </c>
      <c r="AB16" s="178">
        <f>资本金现金流量!AB22</f>
        <v>0</v>
      </c>
      <c r="AC16" s="178">
        <f>资本金现金流量!AC22</f>
        <v>0</v>
      </c>
      <c r="AD16" s="178">
        <f>资本金现金流量!AD22</f>
        <v>295.488</v>
      </c>
      <c r="AE16" s="178">
        <f>资本金现金流量!AE22</f>
        <v>295.488</v>
      </c>
      <c r="AF16" s="178">
        <f>资本金现金流量!AF22</f>
        <v>295.488</v>
      </c>
      <c r="AG16" s="178">
        <f>资本金现金流量!AG22</f>
        <v>295.488</v>
      </c>
      <c r="AH16" s="178">
        <f>资本金现金流量!AH22</f>
        <v>295.488</v>
      </c>
      <c r="AI16" s="178">
        <f>资本金现金流量!AI22</f>
        <v>0</v>
      </c>
      <c r="AJ16" s="178">
        <f>资本金现金流量!AJ22</f>
        <v>0</v>
      </c>
      <c r="AK16" s="178">
        <f>资本金现金流量!AK22</f>
        <v>0</v>
      </c>
      <c r="AL16" s="178">
        <f>资本金现金流量!AL22</f>
        <v>0</v>
      </c>
      <c r="AM16" s="178">
        <f>资本金现金流量!AM22</f>
        <v>0</v>
      </c>
      <c r="AN16" s="178">
        <f t="shared" si="3"/>
        <v>1477.44</v>
      </c>
    </row>
    <row r="17" ht="15" customHeight="true" spans="2:40">
      <c r="B17" s="191" t="s">
        <v>729</v>
      </c>
      <c r="C17" s="15" t="s">
        <v>652</v>
      </c>
      <c r="D17" s="15"/>
      <c r="E17" s="15"/>
      <c r="F17" s="26"/>
      <c r="G17" s="26"/>
      <c r="H17" s="26"/>
      <c r="I17" s="178"/>
      <c r="J17" s="178">
        <f>损益表!D8</f>
        <v>236.3904</v>
      </c>
      <c r="K17" s="178">
        <f>损益表!E8</f>
        <v>265.9392</v>
      </c>
      <c r="L17" s="178">
        <f>损益表!F8</f>
        <v>295.488</v>
      </c>
      <c r="M17" s="178">
        <f>损益表!G8</f>
        <v>295.488</v>
      </c>
      <c r="N17" s="178">
        <f>损益表!H8</f>
        <v>295.488</v>
      </c>
      <c r="O17" s="178">
        <f>损益表!I8</f>
        <v>295.488</v>
      </c>
      <c r="P17" s="178">
        <f>损益表!J8</f>
        <v>295.488</v>
      </c>
      <c r="Q17" s="178">
        <f>损益表!K8</f>
        <v>295.488</v>
      </c>
      <c r="R17" s="178">
        <f>损益表!L8</f>
        <v>295.488</v>
      </c>
      <c r="S17" s="178">
        <f>损益表!M8</f>
        <v>295.488</v>
      </c>
      <c r="T17" s="178">
        <f>损益表!N8</f>
        <v>295.488</v>
      </c>
      <c r="U17" s="178">
        <f>损益表!O8</f>
        <v>295.488</v>
      </c>
      <c r="V17" s="178">
        <f>损益表!P8</f>
        <v>295.488</v>
      </c>
      <c r="W17" s="178">
        <f>损益表!Q8</f>
        <v>295.488</v>
      </c>
      <c r="X17" s="178">
        <f>损益表!R8</f>
        <v>295.488</v>
      </c>
      <c r="Y17" s="178">
        <f>损益表!S8</f>
        <v>295.488</v>
      </c>
      <c r="Z17" s="178">
        <f>损益表!T8</f>
        <v>295.488</v>
      </c>
      <c r="AA17" s="178">
        <f>损益表!U8</f>
        <v>295.488</v>
      </c>
      <c r="AB17" s="178">
        <f>损益表!V8</f>
        <v>295.488</v>
      </c>
      <c r="AC17" s="178">
        <f>损益表!W8</f>
        <v>295.488</v>
      </c>
      <c r="AD17" s="178">
        <f>损益表!X9</f>
        <v>0</v>
      </c>
      <c r="AE17" s="178">
        <f>损益表!Y9</f>
        <v>0</v>
      </c>
      <c r="AF17" s="178">
        <f>损益表!Z9</f>
        <v>0</v>
      </c>
      <c r="AG17" s="178">
        <f>损益表!AA9</f>
        <v>0</v>
      </c>
      <c r="AH17" s="178">
        <f>损益表!AB9</f>
        <v>0</v>
      </c>
      <c r="AI17" s="178">
        <f>损益表!AC9</f>
        <v>0</v>
      </c>
      <c r="AJ17" s="178">
        <f>损益表!AD9</f>
        <v>0</v>
      </c>
      <c r="AK17" s="178">
        <f>损益表!AE9</f>
        <v>0</v>
      </c>
      <c r="AL17" s="178">
        <f>损益表!AF9</f>
        <v>0</v>
      </c>
      <c r="AM17" s="178">
        <f>损益表!AG9</f>
        <v>0</v>
      </c>
      <c r="AN17" s="178">
        <f t="shared" si="3"/>
        <v>5821.1136</v>
      </c>
    </row>
    <row r="18" ht="15" customHeight="true" spans="2:40">
      <c r="B18" s="191" t="s">
        <v>730</v>
      </c>
      <c r="C18" s="15" t="s">
        <v>684</v>
      </c>
      <c r="D18" s="17"/>
      <c r="E18" s="17"/>
      <c r="F18" s="26"/>
      <c r="G18" s="26"/>
      <c r="H18" s="26"/>
      <c r="I18" s="178"/>
      <c r="J18" s="178" t="e">
        <f>损益表!D13</f>
        <v>#REF!</v>
      </c>
      <c r="K18" s="178" t="e">
        <f>损益表!E13</f>
        <v>#REF!</v>
      </c>
      <c r="L18" s="178" t="e">
        <f>损益表!F13</f>
        <v>#REF!</v>
      </c>
      <c r="M18" s="178" t="e">
        <f>损益表!G13</f>
        <v>#REF!</v>
      </c>
      <c r="N18" s="178" t="e">
        <f>损益表!H13</f>
        <v>#REF!</v>
      </c>
      <c r="O18" s="178" t="e">
        <f>损益表!I13</f>
        <v>#REF!</v>
      </c>
      <c r="P18" s="178" t="e">
        <f>损益表!J13</f>
        <v>#REF!</v>
      </c>
      <c r="Q18" s="178" t="e">
        <f>损益表!K13</f>
        <v>#REF!</v>
      </c>
      <c r="R18" s="178" t="e">
        <f>损益表!L13</f>
        <v>#REF!</v>
      </c>
      <c r="S18" s="178" t="e">
        <f>损益表!M13</f>
        <v>#REF!</v>
      </c>
      <c r="T18" s="178" t="e">
        <f>损益表!N13</f>
        <v>#REF!</v>
      </c>
      <c r="U18" s="178" t="e">
        <f>损益表!O13</f>
        <v>#REF!</v>
      </c>
      <c r="V18" s="178" t="e">
        <f>损益表!P13</f>
        <v>#REF!</v>
      </c>
      <c r="W18" s="178" t="e">
        <f>损益表!Q13</f>
        <v>#REF!</v>
      </c>
      <c r="X18" s="178" t="e">
        <f>损益表!R13</f>
        <v>#REF!</v>
      </c>
      <c r="Y18" s="178" t="e">
        <f>损益表!S13</f>
        <v>#REF!</v>
      </c>
      <c r="Z18" s="178" t="e">
        <f>损益表!T13</f>
        <v>#REF!</v>
      </c>
      <c r="AA18" s="178" t="e">
        <f>损益表!U13</f>
        <v>#REF!</v>
      </c>
      <c r="AB18" s="178" t="e">
        <f>损益表!V13</f>
        <v>#REF!</v>
      </c>
      <c r="AC18" s="178" t="e">
        <f>损益表!W13</f>
        <v>#REF!</v>
      </c>
      <c r="AD18" s="178" t="e">
        <f>损益表!X13</f>
        <v>#REF!</v>
      </c>
      <c r="AE18" s="178" t="e">
        <f>损益表!Y13</f>
        <v>#REF!</v>
      </c>
      <c r="AF18" s="178" t="e">
        <f>损益表!Z13</f>
        <v>#REF!</v>
      </c>
      <c r="AG18" s="178" t="e">
        <f>损益表!AA13</f>
        <v>#REF!</v>
      </c>
      <c r="AH18" s="178" t="e">
        <f>损益表!AB13</f>
        <v>#REF!</v>
      </c>
      <c r="AI18" s="178">
        <f>损益表!AC13</f>
        <v>0</v>
      </c>
      <c r="AJ18" s="178">
        <f>损益表!AD13</f>
        <v>0</v>
      </c>
      <c r="AK18" s="178">
        <f>损益表!AE13</f>
        <v>0</v>
      </c>
      <c r="AL18" s="178">
        <f>损益表!AF13</f>
        <v>0</v>
      </c>
      <c r="AM18" s="178">
        <f>损益表!AG13</f>
        <v>0</v>
      </c>
      <c r="AN18" s="178" t="e">
        <f t="shared" si="3"/>
        <v>#REF!</v>
      </c>
    </row>
    <row r="19" ht="15" customHeight="true" spans="2:40">
      <c r="B19" s="191" t="s">
        <v>731</v>
      </c>
      <c r="C19" s="15" t="s">
        <v>732</v>
      </c>
      <c r="D19" s="15"/>
      <c r="E19" s="15"/>
      <c r="F19" s="26"/>
      <c r="G19" s="26"/>
      <c r="H19" s="26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>
        <f t="shared" si="3"/>
        <v>0</v>
      </c>
    </row>
    <row r="20" ht="15" customHeight="true" spans="2:40">
      <c r="B20" s="191">
        <v>2</v>
      </c>
      <c r="C20" s="15" t="s">
        <v>733</v>
      </c>
      <c r="D20" s="17">
        <f t="shared" ref="D20:AM20" si="6">D21-D22</f>
        <v>0</v>
      </c>
      <c r="E20" s="17">
        <f t="shared" si="6"/>
        <v>0</v>
      </c>
      <c r="F20" s="17">
        <f t="shared" si="6"/>
        <v>0</v>
      </c>
      <c r="G20" s="192" t="e">
        <f t="shared" si="6"/>
        <v>#REF!</v>
      </c>
      <c r="H20" s="192" t="e">
        <f t="shared" si="6"/>
        <v>#REF!</v>
      </c>
      <c r="I20" s="197" t="e">
        <f t="shared" si="6"/>
        <v>#REF!</v>
      </c>
      <c r="J20" s="197" t="e">
        <f t="shared" si="6"/>
        <v>#REF!</v>
      </c>
      <c r="K20" s="197" t="e">
        <f t="shared" si="6"/>
        <v>#REF!</v>
      </c>
      <c r="L20" s="197" t="e">
        <f t="shared" si="6"/>
        <v>#REF!</v>
      </c>
      <c r="M20" s="197" t="e">
        <f t="shared" si="6"/>
        <v>#REF!</v>
      </c>
      <c r="N20" s="197" t="e">
        <f t="shared" si="6"/>
        <v>#REF!</v>
      </c>
      <c r="O20" s="197" t="e">
        <f t="shared" si="6"/>
        <v>#REF!</v>
      </c>
      <c r="P20" s="197" t="e">
        <f t="shared" si="6"/>
        <v>#REF!</v>
      </c>
      <c r="Q20" s="197" t="e">
        <f t="shared" si="6"/>
        <v>#REF!</v>
      </c>
      <c r="R20" s="197">
        <f t="shared" si="6"/>
        <v>0</v>
      </c>
      <c r="S20" s="197">
        <f t="shared" si="6"/>
        <v>0</v>
      </c>
      <c r="T20" s="197">
        <f t="shared" si="6"/>
        <v>0</v>
      </c>
      <c r="U20" s="197">
        <f t="shared" si="6"/>
        <v>0</v>
      </c>
      <c r="V20" s="197">
        <f t="shared" si="6"/>
        <v>0</v>
      </c>
      <c r="W20" s="197">
        <f t="shared" si="6"/>
        <v>0</v>
      </c>
      <c r="X20" s="197">
        <f t="shared" si="6"/>
        <v>0</v>
      </c>
      <c r="Y20" s="197">
        <f t="shared" si="6"/>
        <v>0</v>
      </c>
      <c r="Z20" s="197">
        <f t="shared" si="6"/>
        <v>0</v>
      </c>
      <c r="AA20" s="197">
        <f t="shared" si="6"/>
        <v>0</v>
      </c>
      <c r="AB20" s="197">
        <f t="shared" si="6"/>
        <v>0</v>
      </c>
      <c r="AC20" s="178">
        <f t="shared" si="6"/>
        <v>0</v>
      </c>
      <c r="AD20" s="178">
        <f t="shared" si="6"/>
        <v>0</v>
      </c>
      <c r="AE20" s="178">
        <f t="shared" si="6"/>
        <v>0</v>
      </c>
      <c r="AF20" s="178">
        <f t="shared" si="6"/>
        <v>0</v>
      </c>
      <c r="AG20" s="178">
        <f t="shared" si="6"/>
        <v>0</v>
      </c>
      <c r="AH20" s="178" t="e">
        <f t="shared" si="6"/>
        <v>#REF!</v>
      </c>
      <c r="AI20" s="178">
        <f t="shared" si="6"/>
        <v>0</v>
      </c>
      <c r="AJ20" s="178">
        <f t="shared" si="6"/>
        <v>0</v>
      </c>
      <c r="AK20" s="178">
        <f t="shared" si="6"/>
        <v>0</v>
      </c>
      <c r="AL20" s="178">
        <f t="shared" si="6"/>
        <v>0</v>
      </c>
      <c r="AM20" s="178">
        <f t="shared" si="6"/>
        <v>0</v>
      </c>
      <c r="AN20" s="197" t="e">
        <f t="shared" si="3"/>
        <v>#REF!</v>
      </c>
    </row>
    <row r="21" ht="15" customHeight="true" spans="2:40">
      <c r="B21" s="191">
        <v>2.1</v>
      </c>
      <c r="C21" s="15" t="s">
        <v>642</v>
      </c>
      <c r="D21" s="17"/>
      <c r="E21" s="17"/>
      <c r="F21" s="26"/>
      <c r="G21" s="26"/>
      <c r="H21" s="26"/>
      <c r="I21" s="178"/>
      <c r="J21" s="178">
        <f>资金来源运用!J15+资金来源运用!J16</f>
        <v>0</v>
      </c>
      <c r="K21" s="178">
        <f>资金来源运用!K15+资金来源运用!K16</f>
        <v>0</v>
      </c>
      <c r="L21" s="178">
        <f>资金来源运用!L15+资金来源运用!L16</f>
        <v>0</v>
      </c>
      <c r="M21" s="178">
        <f>资金来源运用!M15+资金来源运用!M16</f>
        <v>0</v>
      </c>
      <c r="N21" s="178">
        <f>资金来源运用!N15+资金来源运用!N16</f>
        <v>0</v>
      </c>
      <c r="O21" s="178">
        <f>资金来源运用!O15+资金来源运用!O16</f>
        <v>0</v>
      </c>
      <c r="P21" s="178">
        <f>资金来源运用!P15+资金来源运用!P16</f>
        <v>0</v>
      </c>
      <c r="Q21" s="178">
        <f>资金来源运用!Q15+资金来源运用!Q16</f>
        <v>0</v>
      </c>
      <c r="R21" s="178">
        <f>资金来源运用!R15+资金来源运用!R16</f>
        <v>0</v>
      </c>
      <c r="S21" s="178">
        <f>资金来源运用!S15+资金来源运用!S16</f>
        <v>0</v>
      </c>
      <c r="T21" s="178">
        <f>资金来源运用!T15+资金来源运用!T16</f>
        <v>0</v>
      </c>
      <c r="U21" s="178">
        <f>资金来源运用!U15+资金来源运用!U16</f>
        <v>0</v>
      </c>
      <c r="V21" s="178">
        <f>资金来源运用!V15+资金来源运用!V16</f>
        <v>0</v>
      </c>
      <c r="W21" s="178">
        <f>资金来源运用!W15+资金来源运用!W16</f>
        <v>0</v>
      </c>
      <c r="X21" s="178">
        <f>资金来源运用!X15+资金来源运用!X16</f>
        <v>0</v>
      </c>
      <c r="Y21" s="178">
        <f>资金来源运用!Y15+资金来源运用!Y16</f>
        <v>0</v>
      </c>
      <c r="Z21" s="178">
        <f>资金来源运用!Z15+资金来源运用!Z16</f>
        <v>0</v>
      </c>
      <c r="AA21" s="178">
        <f>资金来源运用!AA15+资金来源运用!AA16</f>
        <v>0</v>
      </c>
      <c r="AB21" s="178">
        <f>资金来源运用!AB15+资金来源运用!AB16</f>
        <v>0</v>
      </c>
      <c r="AC21" s="178">
        <f>资金来源运用!AC15+资金来源运用!AC16</f>
        <v>0</v>
      </c>
      <c r="AD21" s="178">
        <f>资金来源运用!AD15+资金来源运用!AD16</f>
        <v>0</v>
      </c>
      <c r="AE21" s="178">
        <f>资金来源运用!AE15+资金来源运用!AE16</f>
        <v>0</v>
      </c>
      <c r="AF21" s="178">
        <f>资金来源运用!AF15+资金来源运用!AF16</f>
        <v>0</v>
      </c>
      <c r="AG21" s="178">
        <f>资金来源运用!AG15+资金来源运用!AG16</f>
        <v>0</v>
      </c>
      <c r="AH21" s="178" t="e">
        <f>资金来源运用!AH15+资金来源运用!AH16</f>
        <v>#REF!</v>
      </c>
      <c r="AI21" s="178">
        <f>资金来源运用!AI15+资金来源运用!AI16</f>
        <v>0</v>
      </c>
      <c r="AJ21" s="178">
        <f>资金来源运用!AJ15+资金来源运用!AJ16</f>
        <v>0</v>
      </c>
      <c r="AK21" s="178">
        <f>资金来源运用!AK15+资金来源运用!AK16</f>
        <v>0</v>
      </c>
      <c r="AL21" s="178">
        <f>资金来源运用!AL15+资金来源运用!AL16</f>
        <v>0</v>
      </c>
      <c r="AM21" s="178">
        <f>资金来源运用!AM15+资金来源运用!AM16</f>
        <v>0</v>
      </c>
      <c r="AN21" s="178" t="e">
        <f t="shared" si="3"/>
        <v>#REF!</v>
      </c>
    </row>
    <row r="22" ht="15" customHeight="true" spans="2:40">
      <c r="B22" s="191">
        <v>2.2</v>
      </c>
      <c r="C22" s="15" t="s">
        <v>649</v>
      </c>
      <c r="D22" s="17">
        <f t="shared" ref="D22:AM22" si="7">SUM(D23:D26)</f>
        <v>0</v>
      </c>
      <c r="E22" s="17">
        <f t="shared" si="7"/>
        <v>0</v>
      </c>
      <c r="F22" s="17">
        <f t="shared" si="7"/>
        <v>0</v>
      </c>
      <c r="G22" s="192" t="e">
        <f t="shared" si="7"/>
        <v>#REF!</v>
      </c>
      <c r="H22" s="192" t="e">
        <f t="shared" si="7"/>
        <v>#REF!</v>
      </c>
      <c r="I22" s="197" t="e">
        <f t="shared" si="7"/>
        <v>#REF!</v>
      </c>
      <c r="J22" s="197" t="e">
        <f t="shared" si="7"/>
        <v>#REF!</v>
      </c>
      <c r="K22" s="197" t="e">
        <f t="shared" si="7"/>
        <v>#REF!</v>
      </c>
      <c r="L22" s="197" t="e">
        <f t="shared" si="7"/>
        <v>#REF!</v>
      </c>
      <c r="M22" s="197" t="e">
        <f t="shared" si="7"/>
        <v>#REF!</v>
      </c>
      <c r="N22" s="197" t="e">
        <f t="shared" si="7"/>
        <v>#REF!</v>
      </c>
      <c r="O22" s="197" t="e">
        <f t="shared" si="7"/>
        <v>#REF!</v>
      </c>
      <c r="P22" s="197" t="e">
        <f t="shared" si="7"/>
        <v>#REF!</v>
      </c>
      <c r="Q22" s="197" t="e">
        <f t="shared" si="7"/>
        <v>#REF!</v>
      </c>
      <c r="R22" s="197">
        <f t="shared" si="7"/>
        <v>0</v>
      </c>
      <c r="S22" s="197">
        <f t="shared" si="7"/>
        <v>0</v>
      </c>
      <c r="T22" s="197">
        <f t="shared" si="7"/>
        <v>0</v>
      </c>
      <c r="U22" s="197">
        <f t="shared" si="7"/>
        <v>0</v>
      </c>
      <c r="V22" s="197">
        <f t="shared" si="7"/>
        <v>0</v>
      </c>
      <c r="W22" s="197">
        <f t="shared" si="7"/>
        <v>0</v>
      </c>
      <c r="X22" s="197">
        <f t="shared" si="7"/>
        <v>0</v>
      </c>
      <c r="Y22" s="197">
        <f t="shared" si="7"/>
        <v>0</v>
      </c>
      <c r="Z22" s="197">
        <f t="shared" si="7"/>
        <v>0</v>
      </c>
      <c r="AA22" s="197">
        <f t="shared" si="7"/>
        <v>0</v>
      </c>
      <c r="AB22" s="197">
        <f t="shared" si="7"/>
        <v>0</v>
      </c>
      <c r="AC22" s="197">
        <f t="shared" si="7"/>
        <v>0</v>
      </c>
      <c r="AD22" s="197">
        <f t="shared" si="7"/>
        <v>0</v>
      </c>
      <c r="AE22" s="197">
        <f t="shared" si="7"/>
        <v>0</v>
      </c>
      <c r="AF22" s="197">
        <f t="shared" si="7"/>
        <v>0</v>
      </c>
      <c r="AG22" s="197">
        <f t="shared" si="7"/>
        <v>0</v>
      </c>
      <c r="AH22" s="197">
        <f t="shared" si="7"/>
        <v>0</v>
      </c>
      <c r="AI22" s="197">
        <f t="shared" si="7"/>
        <v>0</v>
      </c>
      <c r="AJ22" s="197">
        <f t="shared" si="7"/>
        <v>0</v>
      </c>
      <c r="AK22" s="197">
        <f t="shared" si="7"/>
        <v>0</v>
      </c>
      <c r="AL22" s="197">
        <f t="shared" si="7"/>
        <v>0</v>
      </c>
      <c r="AM22" s="197">
        <f t="shared" si="7"/>
        <v>0</v>
      </c>
      <c r="AN22" s="178" t="e">
        <f t="shared" si="3"/>
        <v>#REF!</v>
      </c>
    </row>
    <row r="23" ht="15" customHeight="true" spans="2:40">
      <c r="B23" s="191" t="s">
        <v>734</v>
      </c>
      <c r="C23" s="15" t="s">
        <v>735</v>
      </c>
      <c r="D23" s="26">
        <f>现金流量!D15</f>
        <v>0</v>
      </c>
      <c r="E23" s="26">
        <f>现金流量!E15</f>
        <v>0</v>
      </c>
      <c r="F23" s="26">
        <f>现金流量!F15</f>
        <v>0</v>
      </c>
      <c r="G23" s="192" t="e">
        <f>现金流量!G15</f>
        <v>#REF!</v>
      </c>
      <c r="H23" s="192" t="e">
        <f>现金流量!H15</f>
        <v>#REF!</v>
      </c>
      <c r="I23" s="197" t="e">
        <f>现金流量!I15</f>
        <v>#REF!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 t="e">
        <f t="shared" si="3"/>
        <v>#REF!</v>
      </c>
    </row>
    <row r="24" ht="15" customHeight="true" spans="2:40">
      <c r="B24" s="191" t="s">
        <v>736</v>
      </c>
      <c r="C24" s="15" t="s">
        <v>737</v>
      </c>
      <c r="D24" s="17"/>
      <c r="E24" s="17"/>
      <c r="F24" s="26"/>
      <c r="G24" s="26"/>
      <c r="H24" s="26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>
        <f t="shared" si="3"/>
        <v>0</v>
      </c>
    </row>
    <row r="25" ht="15" customHeight="true" spans="2:40">
      <c r="B25" s="191" t="s">
        <v>738</v>
      </c>
      <c r="C25" s="15" t="s">
        <v>612</v>
      </c>
      <c r="D25" s="17"/>
      <c r="E25" s="17"/>
      <c r="F25" s="26"/>
      <c r="G25" s="26"/>
      <c r="H25" s="26"/>
      <c r="I25" s="178"/>
      <c r="J25" s="197" t="e">
        <f>资金来源运用!J21</f>
        <v>#REF!</v>
      </c>
      <c r="K25" s="197" t="e">
        <f>资金来源运用!K21</f>
        <v>#REF!</v>
      </c>
      <c r="L25" s="197" t="e">
        <f>资金来源运用!L21</f>
        <v>#REF!</v>
      </c>
      <c r="M25" s="197" t="e">
        <f>资金来源运用!M21</f>
        <v>#REF!</v>
      </c>
      <c r="N25" s="197" t="e">
        <f>资金来源运用!N21</f>
        <v>#REF!</v>
      </c>
      <c r="O25" s="197" t="e">
        <f>资金来源运用!O21</f>
        <v>#REF!</v>
      </c>
      <c r="P25" s="197" t="e">
        <f>资金来源运用!P21</f>
        <v>#REF!</v>
      </c>
      <c r="Q25" s="197" t="e">
        <f>资金来源运用!Q21</f>
        <v>#REF!</v>
      </c>
      <c r="R25" s="197">
        <f>资金来源运用!R21</f>
        <v>0</v>
      </c>
      <c r="S25" s="197">
        <f>资金来源运用!S21</f>
        <v>0</v>
      </c>
      <c r="T25" s="197">
        <f>资金来源运用!T21</f>
        <v>0</v>
      </c>
      <c r="U25" s="197">
        <f>资金来源运用!U21</f>
        <v>0</v>
      </c>
      <c r="V25" s="197">
        <f>资金来源运用!V21</f>
        <v>0</v>
      </c>
      <c r="W25" s="197">
        <f>资金来源运用!W21</f>
        <v>0</v>
      </c>
      <c r="X25" s="197">
        <f>资金来源运用!X21</f>
        <v>0</v>
      </c>
      <c r="Y25" s="197">
        <f>资金来源运用!Y21</f>
        <v>0</v>
      </c>
      <c r="Z25" s="197">
        <f>资金来源运用!Z21</f>
        <v>0</v>
      </c>
      <c r="AA25" s="197">
        <f>资金来源运用!AA21</f>
        <v>0</v>
      </c>
      <c r="AB25" s="197">
        <f>资金来源运用!AB21</f>
        <v>0</v>
      </c>
      <c r="AC25" s="197">
        <f>资金来源运用!AC21</f>
        <v>0</v>
      </c>
      <c r="AD25" s="197">
        <f>资金来源运用!AD21</f>
        <v>0</v>
      </c>
      <c r="AE25" s="197">
        <f>资金来源运用!AE21</f>
        <v>0</v>
      </c>
      <c r="AF25" s="197">
        <f>资金来源运用!AF21</f>
        <v>0</v>
      </c>
      <c r="AG25" s="197">
        <f>资金来源运用!AG21</f>
        <v>0</v>
      </c>
      <c r="AH25" s="197">
        <f>资金来源运用!AH21</f>
        <v>0</v>
      </c>
      <c r="AI25" s="197">
        <f>资金来源运用!AI21</f>
        <v>0</v>
      </c>
      <c r="AJ25" s="197">
        <f>资金来源运用!AJ21</f>
        <v>0</v>
      </c>
      <c r="AK25" s="197">
        <f>资金来源运用!AK21</f>
        <v>0</v>
      </c>
      <c r="AL25" s="197">
        <f>资金来源运用!AL21</f>
        <v>0</v>
      </c>
      <c r="AM25" s="197">
        <f>资金来源运用!AM21</f>
        <v>0</v>
      </c>
      <c r="AN25" s="178" t="e">
        <f t="shared" si="3"/>
        <v>#REF!</v>
      </c>
    </row>
    <row r="26" ht="15" customHeight="true" spans="2:40">
      <c r="B26" s="191" t="s">
        <v>739</v>
      </c>
      <c r="C26" s="15" t="s">
        <v>732</v>
      </c>
      <c r="D26" s="17"/>
      <c r="E26" s="17"/>
      <c r="F26" s="26"/>
      <c r="G26" s="26"/>
      <c r="H26" s="26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>
        <f t="shared" si="3"/>
        <v>0</v>
      </c>
    </row>
    <row r="27" ht="15" customHeight="true" spans="2:40">
      <c r="B27" s="191">
        <v>3</v>
      </c>
      <c r="C27" s="15" t="s">
        <v>740</v>
      </c>
      <c r="D27" s="26">
        <f t="shared" ref="D27:AM27" si="8">D28-D35</f>
        <v>0</v>
      </c>
      <c r="E27" s="26">
        <f t="shared" si="8"/>
        <v>0</v>
      </c>
      <c r="F27" s="26" t="e">
        <f t="shared" si="8"/>
        <v>#REF!</v>
      </c>
      <c r="G27" s="26" t="e">
        <f t="shared" si="8"/>
        <v>#REF!</v>
      </c>
      <c r="H27" s="26" t="e">
        <f t="shared" si="8"/>
        <v>#REF!</v>
      </c>
      <c r="I27" s="178" t="e">
        <f t="shared" si="8"/>
        <v>#REF!</v>
      </c>
      <c r="J27" s="198" t="e">
        <f t="shared" si="8"/>
        <v>#REF!</v>
      </c>
      <c r="K27" s="198" t="e">
        <f t="shared" si="8"/>
        <v>#REF!</v>
      </c>
      <c r="L27" s="198" t="e">
        <f t="shared" si="8"/>
        <v>#REF!</v>
      </c>
      <c r="M27" s="198" t="e">
        <f t="shared" si="8"/>
        <v>#REF!</v>
      </c>
      <c r="N27" s="198" t="e">
        <f t="shared" si="8"/>
        <v>#REF!</v>
      </c>
      <c r="O27" s="198" t="e">
        <f t="shared" si="8"/>
        <v>#REF!</v>
      </c>
      <c r="P27" s="198" t="e">
        <f t="shared" si="8"/>
        <v>#REF!</v>
      </c>
      <c r="Q27" s="198" t="e">
        <f t="shared" si="8"/>
        <v>#REF!</v>
      </c>
      <c r="R27" s="198" t="e">
        <f t="shared" si="8"/>
        <v>#REF!</v>
      </c>
      <c r="S27" s="198" t="e">
        <f t="shared" si="8"/>
        <v>#REF!</v>
      </c>
      <c r="T27" s="198" t="e">
        <f t="shared" si="8"/>
        <v>#REF!</v>
      </c>
      <c r="U27" s="198" t="e">
        <f t="shared" si="8"/>
        <v>#REF!</v>
      </c>
      <c r="V27" s="198" t="e">
        <f t="shared" si="8"/>
        <v>#REF!</v>
      </c>
      <c r="W27" s="198" t="e">
        <f t="shared" si="8"/>
        <v>#REF!</v>
      </c>
      <c r="X27" s="198" t="e">
        <f t="shared" si="8"/>
        <v>#REF!</v>
      </c>
      <c r="Y27" s="198" t="e">
        <f t="shared" si="8"/>
        <v>#REF!</v>
      </c>
      <c r="Z27" s="198" t="e">
        <f t="shared" si="8"/>
        <v>#REF!</v>
      </c>
      <c r="AA27" s="198" t="e">
        <f t="shared" si="8"/>
        <v>#REF!</v>
      </c>
      <c r="AB27" s="198" t="e">
        <f t="shared" si="8"/>
        <v>#REF!</v>
      </c>
      <c r="AC27" s="198" t="e">
        <f t="shared" si="8"/>
        <v>#REF!</v>
      </c>
      <c r="AD27" s="198" t="e">
        <f t="shared" si="8"/>
        <v>#REF!</v>
      </c>
      <c r="AE27" s="198" t="e">
        <f t="shared" si="8"/>
        <v>#REF!</v>
      </c>
      <c r="AF27" s="198" t="e">
        <f t="shared" si="8"/>
        <v>#REF!</v>
      </c>
      <c r="AG27" s="198" t="e">
        <f t="shared" si="8"/>
        <v>#REF!</v>
      </c>
      <c r="AH27" s="198" t="e">
        <f t="shared" si="8"/>
        <v>#REF!</v>
      </c>
      <c r="AI27" s="198" t="e">
        <f t="shared" si="8"/>
        <v>#REF!</v>
      </c>
      <c r="AJ27" s="198" t="e">
        <f t="shared" si="8"/>
        <v>#REF!</v>
      </c>
      <c r="AK27" s="198" t="e">
        <f t="shared" si="8"/>
        <v>#REF!</v>
      </c>
      <c r="AL27" s="198" t="e">
        <f t="shared" si="8"/>
        <v>#REF!</v>
      </c>
      <c r="AM27" s="198" t="e">
        <f t="shared" si="8"/>
        <v>#REF!</v>
      </c>
      <c r="AN27" s="198" t="e">
        <f t="shared" si="3"/>
        <v>#REF!</v>
      </c>
    </row>
    <row r="28" ht="15" customHeight="true" spans="2:40">
      <c r="B28" s="191">
        <v>3.1</v>
      </c>
      <c r="C28" s="15" t="s">
        <v>642</v>
      </c>
      <c r="D28" s="26">
        <f t="shared" ref="D28:AM28" si="9">SUM(D29:D34)</f>
        <v>0</v>
      </c>
      <c r="E28" s="26">
        <f t="shared" si="9"/>
        <v>0</v>
      </c>
      <c r="F28" s="26">
        <f t="shared" si="9"/>
        <v>0</v>
      </c>
      <c r="G28" s="26" t="e">
        <f t="shared" si="9"/>
        <v>#REF!</v>
      </c>
      <c r="H28" s="26" t="e">
        <f t="shared" si="9"/>
        <v>#REF!</v>
      </c>
      <c r="I28" s="178" t="e">
        <f t="shared" si="9"/>
        <v>#REF!</v>
      </c>
      <c r="J28" s="178" t="e">
        <f t="shared" si="9"/>
        <v>#REF!</v>
      </c>
      <c r="K28" s="178" t="e">
        <f t="shared" si="9"/>
        <v>#REF!</v>
      </c>
      <c r="L28" s="178" t="e">
        <f t="shared" si="9"/>
        <v>#REF!</v>
      </c>
      <c r="M28" s="178" t="e">
        <f t="shared" si="9"/>
        <v>#REF!</v>
      </c>
      <c r="N28" s="178" t="e">
        <f t="shared" si="9"/>
        <v>#REF!</v>
      </c>
      <c r="O28" s="178" t="e">
        <f t="shared" si="9"/>
        <v>#REF!</v>
      </c>
      <c r="P28" s="178" t="e">
        <f t="shared" si="9"/>
        <v>#REF!</v>
      </c>
      <c r="Q28" s="178" t="e">
        <f t="shared" si="9"/>
        <v>#REF!</v>
      </c>
      <c r="R28" s="178" t="e">
        <f t="shared" si="9"/>
        <v>#REF!</v>
      </c>
      <c r="S28" s="178" t="e">
        <f t="shared" si="9"/>
        <v>#REF!</v>
      </c>
      <c r="T28" s="178" t="e">
        <f t="shared" si="9"/>
        <v>#REF!</v>
      </c>
      <c r="U28" s="178" t="e">
        <f t="shared" si="9"/>
        <v>#REF!</v>
      </c>
      <c r="V28" s="178" t="e">
        <f t="shared" si="9"/>
        <v>#REF!</v>
      </c>
      <c r="W28" s="178" t="e">
        <f t="shared" si="9"/>
        <v>#REF!</v>
      </c>
      <c r="X28" s="178" t="e">
        <f t="shared" si="9"/>
        <v>#REF!</v>
      </c>
      <c r="Y28" s="178" t="e">
        <f t="shared" si="9"/>
        <v>#REF!</v>
      </c>
      <c r="Z28" s="178" t="e">
        <f t="shared" si="9"/>
        <v>#REF!</v>
      </c>
      <c r="AA28" s="178" t="e">
        <f t="shared" si="9"/>
        <v>#REF!</v>
      </c>
      <c r="AB28" s="178" t="e">
        <f t="shared" si="9"/>
        <v>#REF!</v>
      </c>
      <c r="AC28" s="178" t="e">
        <f t="shared" si="9"/>
        <v>#REF!</v>
      </c>
      <c r="AD28" s="178">
        <f t="shared" si="9"/>
        <v>0</v>
      </c>
      <c r="AE28" s="178">
        <f t="shared" si="9"/>
        <v>0</v>
      </c>
      <c r="AF28" s="178">
        <f t="shared" si="9"/>
        <v>0</v>
      </c>
      <c r="AG28" s="178">
        <f t="shared" si="9"/>
        <v>0</v>
      </c>
      <c r="AH28" s="178">
        <f t="shared" si="9"/>
        <v>0</v>
      </c>
      <c r="AI28" s="178">
        <f t="shared" si="9"/>
        <v>0</v>
      </c>
      <c r="AJ28" s="178">
        <f t="shared" si="9"/>
        <v>0</v>
      </c>
      <c r="AK28" s="178">
        <f t="shared" si="9"/>
        <v>0</v>
      </c>
      <c r="AL28" s="178">
        <f t="shared" si="9"/>
        <v>0</v>
      </c>
      <c r="AM28" s="178">
        <f t="shared" si="9"/>
        <v>0</v>
      </c>
      <c r="AN28" s="178" t="e">
        <f t="shared" si="3"/>
        <v>#REF!</v>
      </c>
    </row>
    <row r="29" ht="15" customHeight="true" spans="2:40">
      <c r="B29" s="191" t="s">
        <v>741</v>
      </c>
      <c r="C29" s="15" t="s">
        <v>742</v>
      </c>
      <c r="D29" s="26">
        <f>资金来源运用!D14</f>
        <v>0</v>
      </c>
      <c r="E29" s="26">
        <f>资金来源运用!E14</f>
        <v>0</v>
      </c>
      <c r="F29" s="26">
        <f>资金来源运用!F14</f>
        <v>0</v>
      </c>
      <c r="G29" s="26" t="e">
        <f>资金来源运用!G14</f>
        <v>#REF!</v>
      </c>
      <c r="H29" s="26" t="e">
        <f>资金来源运用!H14</f>
        <v>#REF!</v>
      </c>
      <c r="I29" s="178" t="e">
        <f>资金来源运用!I14</f>
        <v>#REF!</v>
      </c>
      <c r="J29" s="178" t="e">
        <f>资金来源运用!J14</f>
        <v>#REF!</v>
      </c>
      <c r="K29" s="178" t="e">
        <f>资金来源运用!K14</f>
        <v>#REF!</v>
      </c>
      <c r="L29" s="178" t="e">
        <f>资金来源运用!L14</f>
        <v>#REF!</v>
      </c>
      <c r="M29" s="178" t="e">
        <f>资金来源运用!M14</f>
        <v>#REF!</v>
      </c>
      <c r="N29" s="178" t="e">
        <f>资金来源运用!N14</f>
        <v>#REF!</v>
      </c>
      <c r="O29" s="178" t="e">
        <f>资金来源运用!O14</f>
        <v>#REF!</v>
      </c>
      <c r="P29" s="178" t="e">
        <f>资金来源运用!P14</f>
        <v>#REF!</v>
      </c>
      <c r="Q29" s="178" t="e">
        <f>资金来源运用!Q14</f>
        <v>#REF!</v>
      </c>
      <c r="R29" s="178" t="e">
        <f>资金来源运用!R14</f>
        <v>#REF!</v>
      </c>
      <c r="S29" s="178" t="e">
        <f>资金来源运用!S14</f>
        <v>#REF!</v>
      </c>
      <c r="T29" s="178" t="e">
        <f>资金来源运用!T14</f>
        <v>#REF!</v>
      </c>
      <c r="U29" s="178" t="e">
        <f>资金来源运用!U14</f>
        <v>#REF!</v>
      </c>
      <c r="V29" s="178" t="e">
        <f>资金来源运用!V14</f>
        <v>#REF!</v>
      </c>
      <c r="W29" s="178" t="e">
        <f>资金来源运用!W14</f>
        <v>#REF!</v>
      </c>
      <c r="X29" s="178" t="e">
        <f>资金来源运用!X14</f>
        <v>#REF!</v>
      </c>
      <c r="Y29" s="178" t="e">
        <f>资金来源运用!Y14</f>
        <v>#REF!</v>
      </c>
      <c r="Z29" s="178" t="e">
        <f>资金来源运用!Z14</f>
        <v>#REF!</v>
      </c>
      <c r="AA29" s="178" t="e">
        <f>资金来源运用!AA14</f>
        <v>#REF!</v>
      </c>
      <c r="AB29" s="178" t="e">
        <f>资金来源运用!AB14</f>
        <v>#REF!</v>
      </c>
      <c r="AC29" s="178" t="e">
        <f>资金来源运用!AC14</f>
        <v>#REF!</v>
      </c>
      <c r="AD29" s="178">
        <f>资金来源运用!AD14</f>
        <v>0</v>
      </c>
      <c r="AE29" s="178">
        <f>资金来源运用!AE14</f>
        <v>0</v>
      </c>
      <c r="AF29" s="178">
        <f>资金来源运用!AF14</f>
        <v>0</v>
      </c>
      <c r="AG29" s="178">
        <f>资金来源运用!AG14</f>
        <v>0</v>
      </c>
      <c r="AH29" s="178">
        <f>资金来源运用!AH14</f>
        <v>0</v>
      </c>
      <c r="AI29" s="178">
        <f>资金来源运用!AI14</f>
        <v>0</v>
      </c>
      <c r="AJ29" s="178">
        <f>资金来源运用!AJ14</f>
        <v>0</v>
      </c>
      <c r="AK29" s="178">
        <f>资金来源运用!AK14</f>
        <v>0</v>
      </c>
      <c r="AL29" s="178">
        <f>资金来源运用!AL14</f>
        <v>0</v>
      </c>
      <c r="AM29" s="178">
        <f>资金来源运用!AM14</f>
        <v>0</v>
      </c>
      <c r="AN29" s="178" t="e">
        <f t="shared" si="3"/>
        <v>#REF!</v>
      </c>
    </row>
    <row r="30" ht="15" customHeight="true" spans="2:40">
      <c r="B30" s="191" t="s">
        <v>743</v>
      </c>
      <c r="C30" s="15" t="s">
        <v>744</v>
      </c>
      <c r="D30" s="26">
        <f>资金来源运用!D10</f>
        <v>0</v>
      </c>
      <c r="E30" s="26">
        <f>资金来源运用!E10</f>
        <v>0</v>
      </c>
      <c r="F30" s="26">
        <f>资金来源运用!F10</f>
        <v>0</v>
      </c>
      <c r="G30" s="26" t="e">
        <f>资金来源运用!G10</f>
        <v>#REF!</v>
      </c>
      <c r="H30" s="26" t="e">
        <f>资金来源运用!H10</f>
        <v>#REF!</v>
      </c>
      <c r="I30" s="178" t="e">
        <f>资金来源运用!I10</f>
        <v>#REF!</v>
      </c>
      <c r="J30" s="178">
        <f>资金来源运用!J10</f>
        <v>0</v>
      </c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 t="e">
        <f t="shared" si="3"/>
        <v>#REF!</v>
      </c>
    </row>
    <row r="31" ht="15" customHeight="true" spans="2:40">
      <c r="B31" s="191" t="s">
        <v>745</v>
      </c>
      <c r="C31" s="15" t="s">
        <v>746</v>
      </c>
      <c r="D31" s="26"/>
      <c r="E31" s="26"/>
      <c r="F31" s="26"/>
      <c r="G31" s="26"/>
      <c r="H31" s="26"/>
      <c r="I31" s="178"/>
      <c r="J31" s="178" t="e">
        <f>资金来源运用!J11</f>
        <v>#REF!</v>
      </c>
      <c r="K31" s="178" t="e">
        <f>资金来源运用!K11</f>
        <v>#REF!</v>
      </c>
      <c r="L31" s="178" t="e">
        <f>资金来源运用!L11</f>
        <v>#REF!</v>
      </c>
      <c r="M31" s="178" t="e">
        <f>资金来源运用!M11</f>
        <v>#REF!</v>
      </c>
      <c r="N31" s="178" t="e">
        <f>资金来源运用!N11</f>
        <v>#REF!</v>
      </c>
      <c r="O31" s="178" t="e">
        <f>资金来源运用!O11</f>
        <v>#REF!</v>
      </c>
      <c r="P31" s="178" t="e">
        <f>资金来源运用!P11</f>
        <v>#REF!</v>
      </c>
      <c r="Q31" s="178" t="e">
        <f>资金来源运用!Q11</f>
        <v>#REF!</v>
      </c>
      <c r="R31" s="178" t="e">
        <f>资金来源运用!R11</f>
        <v>#REF!</v>
      </c>
      <c r="S31" s="178" t="e">
        <f>资金来源运用!S11</f>
        <v>#REF!</v>
      </c>
      <c r="T31" s="178" t="e">
        <f>资金来源运用!T11</f>
        <v>#REF!</v>
      </c>
      <c r="U31" s="178" t="e">
        <f>资金来源运用!U11</f>
        <v>#REF!</v>
      </c>
      <c r="V31" s="178" t="e">
        <f>资金来源运用!V11</f>
        <v>#REF!</v>
      </c>
      <c r="W31" s="178" t="e">
        <f>资金来源运用!W11</f>
        <v>#REF!</v>
      </c>
      <c r="X31" s="178" t="e">
        <f>资金来源运用!X11</f>
        <v>#REF!</v>
      </c>
      <c r="Y31" s="178" t="e">
        <f>资金来源运用!Y11</f>
        <v>#REF!</v>
      </c>
      <c r="Z31" s="178" t="e">
        <f>资金来源运用!Z11</f>
        <v>#REF!</v>
      </c>
      <c r="AA31" s="178" t="e">
        <f>资金来源运用!AA11</f>
        <v>#REF!</v>
      </c>
      <c r="AB31" s="178" t="e">
        <f>资金来源运用!AB11</f>
        <v>#REF!</v>
      </c>
      <c r="AC31" s="178" t="e">
        <f>资金来源运用!AC11</f>
        <v>#REF!</v>
      </c>
      <c r="AD31" s="178">
        <f>资金来源运用!AD11</f>
        <v>0</v>
      </c>
      <c r="AE31" s="178">
        <f>资金来源运用!AE11</f>
        <v>0</v>
      </c>
      <c r="AF31" s="178">
        <f>资金来源运用!AF11</f>
        <v>0</v>
      </c>
      <c r="AG31" s="178">
        <f>资金来源运用!AG11</f>
        <v>0</v>
      </c>
      <c r="AH31" s="178">
        <f>资金来源运用!AH11</f>
        <v>0</v>
      </c>
      <c r="AI31" s="178">
        <f>资金来源运用!AI11</f>
        <v>0</v>
      </c>
      <c r="AJ31" s="178">
        <f>资金来源运用!AJ11</f>
        <v>0</v>
      </c>
      <c r="AK31" s="178">
        <f>资金来源运用!AK11</f>
        <v>0</v>
      </c>
      <c r="AL31" s="178">
        <f>资金来源运用!AL11</f>
        <v>0</v>
      </c>
      <c r="AM31" s="178">
        <f>资金来源运用!AM11</f>
        <v>0</v>
      </c>
      <c r="AN31" s="178" t="e">
        <f t="shared" si="3"/>
        <v>#REF!</v>
      </c>
    </row>
    <row r="32" ht="15" customHeight="true" spans="2:40">
      <c r="B32" s="191" t="s">
        <v>747</v>
      </c>
      <c r="C32" s="15" t="s">
        <v>748</v>
      </c>
      <c r="D32" s="26"/>
      <c r="E32" s="26"/>
      <c r="F32" s="26"/>
      <c r="G32" s="26"/>
      <c r="H32" s="26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>
        <f t="shared" si="3"/>
        <v>0</v>
      </c>
    </row>
    <row r="33" ht="15" customHeight="true" spans="2:40">
      <c r="B33" s="191" t="s">
        <v>749</v>
      </c>
      <c r="C33" s="15" t="s">
        <v>750</v>
      </c>
      <c r="D33" s="26"/>
      <c r="E33" s="26"/>
      <c r="F33" s="26"/>
      <c r="G33" s="26"/>
      <c r="H33" s="26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>
        <f t="shared" si="3"/>
        <v>0</v>
      </c>
    </row>
    <row r="34" ht="15" customHeight="true" spans="2:40">
      <c r="B34" s="191" t="s">
        <v>751</v>
      </c>
      <c r="C34" s="15" t="s">
        <v>725</v>
      </c>
      <c r="D34" s="26"/>
      <c r="E34" s="26"/>
      <c r="F34" s="26"/>
      <c r="G34" s="26"/>
      <c r="H34" s="26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>
        <f t="shared" si="3"/>
        <v>0</v>
      </c>
    </row>
    <row r="35" ht="15" customHeight="true" spans="2:40">
      <c r="B35" s="191">
        <v>3.2</v>
      </c>
      <c r="C35" s="15" t="s">
        <v>649</v>
      </c>
      <c r="D35" s="26">
        <f t="shared" ref="D35:AM35" si="10">SUM(D36:D39)</f>
        <v>0</v>
      </c>
      <c r="E35" s="26">
        <f t="shared" si="10"/>
        <v>0</v>
      </c>
      <c r="F35" s="26" t="e">
        <f t="shared" si="10"/>
        <v>#REF!</v>
      </c>
      <c r="G35" s="26" t="e">
        <f t="shared" si="10"/>
        <v>#REF!</v>
      </c>
      <c r="H35" s="26" t="e">
        <f t="shared" si="10"/>
        <v>#REF!</v>
      </c>
      <c r="I35" s="178" t="e">
        <f t="shared" si="10"/>
        <v>#REF!</v>
      </c>
      <c r="J35" s="178" t="e">
        <f t="shared" si="10"/>
        <v>#REF!</v>
      </c>
      <c r="K35" s="178" t="e">
        <f t="shared" si="10"/>
        <v>#REF!</v>
      </c>
      <c r="L35" s="178" t="e">
        <f t="shared" si="10"/>
        <v>#REF!</v>
      </c>
      <c r="M35" s="178" t="e">
        <f t="shared" si="10"/>
        <v>#REF!</v>
      </c>
      <c r="N35" s="178" t="e">
        <f t="shared" si="10"/>
        <v>#REF!</v>
      </c>
      <c r="O35" s="178" t="e">
        <f t="shared" si="10"/>
        <v>#REF!</v>
      </c>
      <c r="P35" s="178" t="e">
        <f t="shared" si="10"/>
        <v>#REF!</v>
      </c>
      <c r="Q35" s="178" t="e">
        <f t="shared" si="10"/>
        <v>#REF!</v>
      </c>
      <c r="R35" s="178" t="e">
        <f t="shared" si="10"/>
        <v>#REF!</v>
      </c>
      <c r="S35" s="178" t="e">
        <f t="shared" si="10"/>
        <v>#REF!</v>
      </c>
      <c r="T35" s="178" t="e">
        <f t="shared" si="10"/>
        <v>#REF!</v>
      </c>
      <c r="U35" s="178" t="e">
        <f t="shared" si="10"/>
        <v>#REF!</v>
      </c>
      <c r="V35" s="178" t="e">
        <f t="shared" si="10"/>
        <v>#REF!</v>
      </c>
      <c r="W35" s="178" t="e">
        <f t="shared" si="10"/>
        <v>#REF!</v>
      </c>
      <c r="X35" s="178" t="e">
        <f t="shared" si="10"/>
        <v>#REF!</v>
      </c>
      <c r="Y35" s="178" t="e">
        <f t="shared" si="10"/>
        <v>#REF!</v>
      </c>
      <c r="Z35" s="178" t="e">
        <f t="shared" si="10"/>
        <v>#REF!</v>
      </c>
      <c r="AA35" s="178" t="e">
        <f t="shared" si="10"/>
        <v>#REF!</v>
      </c>
      <c r="AB35" s="178" t="e">
        <f t="shared" si="10"/>
        <v>#REF!</v>
      </c>
      <c r="AC35" s="178" t="e">
        <f t="shared" si="10"/>
        <v>#REF!</v>
      </c>
      <c r="AD35" s="178" t="e">
        <f t="shared" si="10"/>
        <v>#REF!</v>
      </c>
      <c r="AE35" s="178" t="e">
        <f t="shared" si="10"/>
        <v>#REF!</v>
      </c>
      <c r="AF35" s="178" t="e">
        <f t="shared" si="10"/>
        <v>#REF!</v>
      </c>
      <c r="AG35" s="178" t="e">
        <f t="shared" si="10"/>
        <v>#REF!</v>
      </c>
      <c r="AH35" s="178" t="e">
        <f t="shared" si="10"/>
        <v>#REF!</v>
      </c>
      <c r="AI35" s="178" t="e">
        <f t="shared" si="10"/>
        <v>#REF!</v>
      </c>
      <c r="AJ35" s="178" t="e">
        <f t="shared" si="10"/>
        <v>#REF!</v>
      </c>
      <c r="AK35" s="178" t="e">
        <f t="shared" si="10"/>
        <v>#REF!</v>
      </c>
      <c r="AL35" s="178" t="e">
        <f t="shared" si="10"/>
        <v>#REF!</v>
      </c>
      <c r="AM35" s="178" t="e">
        <f t="shared" si="10"/>
        <v>#REF!</v>
      </c>
      <c r="AN35" s="178" t="e">
        <f t="shared" si="3"/>
        <v>#REF!</v>
      </c>
    </row>
    <row r="36" ht="15" customHeight="true" spans="2:40">
      <c r="B36" s="191" t="s">
        <v>752</v>
      </c>
      <c r="C36" s="15" t="s">
        <v>753</v>
      </c>
      <c r="D36" s="26">
        <f>资金来源运用!D20</f>
        <v>0</v>
      </c>
      <c r="E36" s="26">
        <f>资金来源运用!E20</f>
        <v>0</v>
      </c>
      <c r="F36" s="26" t="e">
        <f>资金来源运用!F20</f>
        <v>#REF!</v>
      </c>
      <c r="G36" s="26" t="e">
        <f>资金来源运用!G20</f>
        <v>#REF!</v>
      </c>
      <c r="H36" s="26" t="e">
        <f>资金来源运用!H20</f>
        <v>#REF!</v>
      </c>
      <c r="I36" s="178" t="e">
        <f>资金来源运用!I20</f>
        <v>#REF!</v>
      </c>
      <c r="J36" s="178" t="e">
        <f>年成本分析!D11+年成本分析!D19+年成本分析!D18</f>
        <v>#REF!</v>
      </c>
      <c r="K36" s="178" t="e">
        <f>年成本分析!E11+年成本分析!E19+年成本分析!E18</f>
        <v>#REF!</v>
      </c>
      <c r="L36" s="178" t="e">
        <f>年成本分析!F11+年成本分析!F19+年成本分析!F18</f>
        <v>#REF!</v>
      </c>
      <c r="M36" s="178" t="e">
        <f>年成本分析!G11+年成本分析!G19+年成本分析!G18</f>
        <v>#REF!</v>
      </c>
      <c r="N36" s="178" t="e">
        <f>年成本分析!H11+年成本分析!H19+年成本分析!H18</f>
        <v>#REF!</v>
      </c>
      <c r="O36" s="178" t="e">
        <f>年成本分析!I11+年成本分析!I19+年成本分析!I18</f>
        <v>#REF!</v>
      </c>
      <c r="P36" s="178" t="e">
        <f>年成本分析!J11+年成本分析!J19+年成本分析!J18</f>
        <v>#REF!</v>
      </c>
      <c r="Q36" s="178" t="e">
        <f>年成本分析!K11+年成本分析!K19+年成本分析!K18</f>
        <v>#REF!</v>
      </c>
      <c r="R36" s="178" t="e">
        <f>年成本分析!L11+年成本分析!L19+年成本分析!L18</f>
        <v>#REF!</v>
      </c>
      <c r="S36" s="178" t="e">
        <f>年成本分析!M11+年成本分析!M19+年成本分析!M18</f>
        <v>#REF!</v>
      </c>
      <c r="T36" s="178" t="e">
        <f>年成本分析!N11+年成本分析!N19+年成本分析!N18</f>
        <v>#REF!</v>
      </c>
      <c r="U36" s="178" t="e">
        <f>年成本分析!O11+年成本分析!O19+年成本分析!O18</f>
        <v>#REF!</v>
      </c>
      <c r="V36" s="178" t="e">
        <f>年成本分析!P11+年成本分析!P19+年成本分析!P18</f>
        <v>#REF!</v>
      </c>
      <c r="W36" s="178" t="e">
        <f>年成本分析!Q11+年成本分析!Q19+年成本分析!Q18</f>
        <v>#REF!</v>
      </c>
      <c r="X36" s="178" t="e">
        <f>年成本分析!R11+年成本分析!R19+年成本分析!R18</f>
        <v>#REF!</v>
      </c>
      <c r="Y36" s="178" t="e">
        <f>年成本分析!S11+年成本分析!S19+年成本分析!S18</f>
        <v>#REF!</v>
      </c>
      <c r="Z36" s="178" t="e">
        <f>年成本分析!T11+年成本分析!T19+年成本分析!T18</f>
        <v>#REF!</v>
      </c>
      <c r="AA36" s="178" t="e">
        <f>年成本分析!U11+年成本分析!U19+年成本分析!U18</f>
        <v>#REF!</v>
      </c>
      <c r="AB36" s="178" t="e">
        <f>年成本分析!V11+年成本分析!V19+年成本分析!V18</f>
        <v>#REF!</v>
      </c>
      <c r="AC36" s="178" t="e">
        <f>年成本分析!W11+年成本分析!W19+年成本分析!W18</f>
        <v>#REF!</v>
      </c>
      <c r="AD36" s="178" t="e">
        <f>年成本分析!X11+年成本分析!X19+年成本分析!X18</f>
        <v>#REF!</v>
      </c>
      <c r="AE36" s="178" t="e">
        <f>年成本分析!Y11+年成本分析!Y19+年成本分析!Y18</f>
        <v>#REF!</v>
      </c>
      <c r="AF36" s="178" t="e">
        <f>年成本分析!Z11+年成本分析!Z19+年成本分析!Z18</f>
        <v>#REF!</v>
      </c>
      <c r="AG36" s="178" t="e">
        <f>年成本分析!AA11+年成本分析!AA19+年成本分析!AA18</f>
        <v>#REF!</v>
      </c>
      <c r="AH36" s="178" t="e">
        <f>年成本分析!AB11+年成本分析!AB19+年成本分析!AB18</f>
        <v>#REF!</v>
      </c>
      <c r="AI36" s="178">
        <f>年成本分析!AC11+年成本分析!AC19+年成本分析!AC18</f>
        <v>0</v>
      </c>
      <c r="AJ36" s="178">
        <f>年成本分析!AD11+年成本分析!AD19+年成本分析!AD18</f>
        <v>0</v>
      </c>
      <c r="AK36" s="178">
        <f>年成本分析!AE11+年成本分析!AE19+年成本分析!AE18</f>
        <v>0</v>
      </c>
      <c r="AL36" s="178">
        <f>年成本分析!AF11+年成本分析!AF19+年成本分析!AF18</f>
        <v>0</v>
      </c>
      <c r="AM36" s="178">
        <f>年成本分析!AG11+年成本分析!AG19+年成本分析!AG18</f>
        <v>0</v>
      </c>
      <c r="AN36" s="178" t="e">
        <f t="shared" si="3"/>
        <v>#REF!</v>
      </c>
    </row>
    <row r="37" ht="15" customHeight="true" spans="2:40">
      <c r="B37" s="191" t="s">
        <v>754</v>
      </c>
      <c r="C37" s="15" t="s">
        <v>755</v>
      </c>
      <c r="D37" s="26"/>
      <c r="E37" s="26"/>
      <c r="F37" s="26"/>
      <c r="G37" s="26"/>
      <c r="H37" s="26"/>
      <c r="I37" s="178"/>
      <c r="J37" s="178" t="e">
        <f>资金来源运用!J25+资金来源运用!J26+资金来源运用!J27</f>
        <v>#REF!</v>
      </c>
      <c r="K37" s="178" t="e">
        <f>资金来源运用!K25+资金来源运用!K26+资金来源运用!K27</f>
        <v>#REF!</v>
      </c>
      <c r="L37" s="178" t="e">
        <f>资金来源运用!L25+资金来源运用!L26+资金来源运用!L27</f>
        <v>#REF!</v>
      </c>
      <c r="M37" s="178" t="e">
        <f>资金来源运用!M25+资金来源运用!M26+资金来源运用!M27</f>
        <v>#REF!</v>
      </c>
      <c r="N37" s="178" t="e">
        <f>资金来源运用!N25+资金来源运用!N26+资金来源运用!N27</f>
        <v>#REF!</v>
      </c>
      <c r="O37" s="178" t="e">
        <f>资金来源运用!O25+资金来源运用!O26+资金来源运用!O27</f>
        <v>#REF!</v>
      </c>
      <c r="P37" s="178" t="e">
        <f>资金来源运用!P25+资金来源运用!P26+资金来源运用!P27</f>
        <v>#REF!</v>
      </c>
      <c r="Q37" s="178" t="e">
        <f>资金来源运用!Q25+资金来源运用!Q26+资金来源运用!Q27</f>
        <v>#REF!</v>
      </c>
      <c r="R37" s="178" t="e">
        <f>资金来源运用!R25+资金来源运用!R26+资金来源运用!R27</f>
        <v>#REF!</v>
      </c>
      <c r="S37" s="178" t="e">
        <f>资金来源运用!S25+资金来源运用!S26+资金来源运用!S27</f>
        <v>#REF!</v>
      </c>
      <c r="T37" s="178" t="e">
        <f>资金来源运用!T25+资金来源运用!T26+资金来源运用!T27</f>
        <v>#REF!</v>
      </c>
      <c r="U37" s="178" t="e">
        <f>资金来源运用!U25+资金来源运用!U26+资金来源运用!U27</f>
        <v>#REF!</v>
      </c>
      <c r="V37" s="178" t="e">
        <f>资金来源运用!V25+资金来源运用!V26+资金来源运用!V27</f>
        <v>#REF!</v>
      </c>
      <c r="W37" s="178" t="e">
        <f>资金来源运用!W25+资金来源运用!W26+资金来源运用!W27</f>
        <v>#REF!</v>
      </c>
      <c r="X37" s="178" t="e">
        <f>资金来源运用!X25+资金来源运用!X26+资金来源运用!X27</f>
        <v>#REF!</v>
      </c>
      <c r="Y37" s="178" t="e">
        <f>资金来源运用!Y25+资金来源运用!Y26+资金来源运用!Y27</f>
        <v>#REF!</v>
      </c>
      <c r="Z37" s="178" t="e">
        <f>资金来源运用!Z25+资金来源运用!Z26+资金来源运用!Z27</f>
        <v>#REF!</v>
      </c>
      <c r="AA37" s="178" t="e">
        <f>资金来源运用!AA25+资金来源运用!AA26+资金来源运用!AA27</f>
        <v>#REF!</v>
      </c>
      <c r="AB37" s="178" t="e">
        <f>资金来源运用!AB25+资金来源运用!AB26+资金来源运用!AB27</f>
        <v>#REF!</v>
      </c>
      <c r="AC37" s="178" t="e">
        <f>资金来源运用!AC25+资金来源运用!AC26+资金来源运用!AC27</f>
        <v>#REF!</v>
      </c>
      <c r="AD37" s="178" t="e">
        <f>资金来源运用!AD25+资金来源运用!AD26+资金来源运用!AD27</f>
        <v>#REF!</v>
      </c>
      <c r="AE37" s="178" t="e">
        <f>资金来源运用!AE25+资金来源运用!AE26+资金来源运用!AE27</f>
        <v>#REF!</v>
      </c>
      <c r="AF37" s="178">
        <f>资金来源运用!AF25+资金来源运用!AF26+资金来源运用!AF27</f>
        <v>0</v>
      </c>
      <c r="AG37" s="178">
        <f>资金来源运用!AG25+资金来源运用!AG26+资金来源运用!AG27</f>
        <v>0</v>
      </c>
      <c r="AH37" s="178" t="e">
        <f>资金来源运用!AH25+资金来源运用!AH26+资金来源运用!AH27</f>
        <v>#REF!</v>
      </c>
      <c r="AI37" s="178">
        <f>资金来源运用!AI25+资金来源运用!AI26+资金来源运用!AI27</f>
        <v>0</v>
      </c>
      <c r="AJ37" s="178">
        <f>资金来源运用!AJ25+资金来源运用!AJ26+资金来源运用!AJ27</f>
        <v>0</v>
      </c>
      <c r="AK37" s="178">
        <f>资金来源运用!AK25+资金来源运用!AK26+资金来源运用!AK27</f>
        <v>0</v>
      </c>
      <c r="AL37" s="178">
        <f>资金来源运用!AL25+资金来源运用!AL26+资金来源运用!AL27</f>
        <v>0</v>
      </c>
      <c r="AM37" s="178">
        <f>资金来源运用!AM25+资金来源运用!AM26+资金来源运用!AM27</f>
        <v>0</v>
      </c>
      <c r="AN37" s="178" t="e">
        <f t="shared" si="3"/>
        <v>#REF!</v>
      </c>
    </row>
    <row r="38" ht="15" customHeight="true" spans="2:40">
      <c r="B38" s="191" t="s">
        <v>756</v>
      </c>
      <c r="C38" s="15" t="s">
        <v>714</v>
      </c>
      <c r="D38" s="26"/>
      <c r="E38" s="26"/>
      <c r="F38" s="26"/>
      <c r="G38" s="26"/>
      <c r="H38" s="26"/>
      <c r="I38" s="178"/>
      <c r="J38" s="178" t="e">
        <f>损益表!D17</f>
        <v>#REF!</v>
      </c>
      <c r="K38" s="178" t="e">
        <f>损益表!E17</f>
        <v>#REF!</v>
      </c>
      <c r="L38" s="178" t="e">
        <f>损益表!F17</f>
        <v>#REF!</v>
      </c>
      <c r="M38" s="178" t="e">
        <f>损益表!G17</f>
        <v>#REF!</v>
      </c>
      <c r="N38" s="178" t="e">
        <f>损益表!H17</f>
        <v>#REF!</v>
      </c>
      <c r="O38" s="178" t="e">
        <f>损益表!I17</f>
        <v>#REF!</v>
      </c>
      <c r="P38" s="178" t="e">
        <f>损益表!J17</f>
        <v>#REF!</v>
      </c>
      <c r="Q38" s="178" t="e">
        <f>损益表!K17</f>
        <v>#REF!</v>
      </c>
      <c r="R38" s="178" t="e">
        <f>损益表!L17</f>
        <v>#REF!</v>
      </c>
      <c r="S38" s="178" t="e">
        <f>损益表!M17</f>
        <v>#REF!</v>
      </c>
      <c r="T38" s="178" t="e">
        <f>损益表!N17</f>
        <v>#REF!</v>
      </c>
      <c r="U38" s="178" t="e">
        <f>损益表!O17</f>
        <v>#REF!</v>
      </c>
      <c r="V38" s="178" t="e">
        <f>损益表!P17</f>
        <v>#REF!</v>
      </c>
      <c r="W38" s="178" t="e">
        <f>损益表!Q17</f>
        <v>#REF!</v>
      </c>
      <c r="X38" s="178" t="e">
        <f>损益表!R17</f>
        <v>#REF!</v>
      </c>
      <c r="Y38" s="178" t="e">
        <f>损益表!S17</f>
        <v>#REF!</v>
      </c>
      <c r="Z38" s="178" t="e">
        <f>损益表!T17</f>
        <v>#REF!</v>
      </c>
      <c r="AA38" s="178" t="e">
        <f>损益表!U17</f>
        <v>#REF!</v>
      </c>
      <c r="AB38" s="178" t="e">
        <f>损益表!V17</f>
        <v>#REF!</v>
      </c>
      <c r="AC38" s="178" t="e">
        <f>损益表!W17</f>
        <v>#REF!</v>
      </c>
      <c r="AD38" s="178" t="e">
        <f>损益表!X17</f>
        <v>#REF!</v>
      </c>
      <c r="AE38" s="178" t="e">
        <f>损益表!Y17</f>
        <v>#REF!</v>
      </c>
      <c r="AF38" s="178" t="e">
        <f>损益表!Z17</f>
        <v>#REF!</v>
      </c>
      <c r="AG38" s="178" t="e">
        <f>损益表!AA17</f>
        <v>#REF!</v>
      </c>
      <c r="AH38" s="178" t="e">
        <f>损益表!AB17</f>
        <v>#REF!</v>
      </c>
      <c r="AI38" s="178" t="e">
        <f>损益表!AC17</f>
        <v>#REF!</v>
      </c>
      <c r="AJ38" s="178" t="e">
        <f>损益表!AD17</f>
        <v>#REF!</v>
      </c>
      <c r="AK38" s="178" t="e">
        <f>损益表!AE17</f>
        <v>#REF!</v>
      </c>
      <c r="AL38" s="178" t="e">
        <f>损益表!AF17</f>
        <v>#REF!</v>
      </c>
      <c r="AM38" s="178" t="e">
        <f>损益表!AG17</f>
        <v>#REF!</v>
      </c>
      <c r="AN38" s="178" t="e">
        <f t="shared" si="3"/>
        <v>#REF!</v>
      </c>
    </row>
    <row r="39" ht="15" customHeight="true" spans="2:40">
      <c r="B39" s="191" t="s">
        <v>757</v>
      </c>
      <c r="C39" s="15" t="s">
        <v>732</v>
      </c>
      <c r="D39" s="26"/>
      <c r="E39" s="26"/>
      <c r="F39" s="26"/>
      <c r="G39" s="26"/>
      <c r="H39" s="26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>
        <f t="shared" si="3"/>
        <v>0</v>
      </c>
    </row>
    <row r="40" ht="15" customHeight="true" spans="2:40">
      <c r="B40" s="191">
        <v>4</v>
      </c>
      <c r="C40" s="15" t="s">
        <v>655</v>
      </c>
      <c r="D40" s="26">
        <f t="shared" ref="D40:F40" si="11">D7+D20+D27</f>
        <v>0</v>
      </c>
      <c r="E40" s="26">
        <f t="shared" si="11"/>
        <v>0</v>
      </c>
      <c r="F40" s="26" t="e">
        <f t="shared" si="11"/>
        <v>#REF!</v>
      </c>
      <c r="G40" s="26" t="e">
        <f t="shared" ref="G40:AM40" si="12">ROUND(G7+G20+G27,2)</f>
        <v>#REF!</v>
      </c>
      <c r="H40" s="26" t="e">
        <f t="shared" si="12"/>
        <v>#REF!</v>
      </c>
      <c r="I40" s="178" t="e">
        <f t="shared" si="12"/>
        <v>#REF!</v>
      </c>
      <c r="J40" s="178" t="e">
        <f t="shared" si="12"/>
        <v>#REF!</v>
      </c>
      <c r="K40" s="178" t="e">
        <f t="shared" si="12"/>
        <v>#REF!</v>
      </c>
      <c r="L40" s="178" t="e">
        <f t="shared" si="12"/>
        <v>#REF!</v>
      </c>
      <c r="M40" s="178" t="e">
        <f t="shared" si="12"/>
        <v>#REF!</v>
      </c>
      <c r="N40" s="178" t="e">
        <f t="shared" si="12"/>
        <v>#REF!</v>
      </c>
      <c r="O40" s="178" t="e">
        <f t="shared" si="12"/>
        <v>#REF!</v>
      </c>
      <c r="P40" s="178" t="e">
        <f t="shared" si="12"/>
        <v>#REF!</v>
      </c>
      <c r="Q40" s="178" t="e">
        <f t="shared" si="12"/>
        <v>#REF!</v>
      </c>
      <c r="R40" s="178" t="e">
        <f t="shared" si="12"/>
        <v>#REF!</v>
      </c>
      <c r="S40" s="178" t="e">
        <f t="shared" si="12"/>
        <v>#REF!</v>
      </c>
      <c r="T40" s="178" t="e">
        <f t="shared" si="12"/>
        <v>#REF!</v>
      </c>
      <c r="U40" s="178" t="e">
        <f t="shared" si="12"/>
        <v>#REF!</v>
      </c>
      <c r="V40" s="178" t="e">
        <f t="shared" si="12"/>
        <v>#REF!</v>
      </c>
      <c r="W40" s="178" t="e">
        <f t="shared" si="12"/>
        <v>#REF!</v>
      </c>
      <c r="X40" s="178" t="e">
        <f t="shared" si="12"/>
        <v>#REF!</v>
      </c>
      <c r="Y40" s="178" t="e">
        <f t="shared" si="12"/>
        <v>#REF!</v>
      </c>
      <c r="Z40" s="178" t="e">
        <f t="shared" si="12"/>
        <v>#REF!</v>
      </c>
      <c r="AA40" s="178" t="e">
        <f t="shared" si="12"/>
        <v>#REF!</v>
      </c>
      <c r="AB40" s="178" t="e">
        <f t="shared" si="12"/>
        <v>#REF!</v>
      </c>
      <c r="AC40" s="178" t="e">
        <f t="shared" si="12"/>
        <v>#REF!</v>
      </c>
      <c r="AD40" s="178" t="e">
        <f t="shared" si="12"/>
        <v>#REF!</v>
      </c>
      <c r="AE40" s="178" t="e">
        <f t="shared" si="12"/>
        <v>#REF!</v>
      </c>
      <c r="AF40" s="178" t="e">
        <f t="shared" si="12"/>
        <v>#REF!</v>
      </c>
      <c r="AG40" s="178" t="e">
        <f t="shared" si="12"/>
        <v>#REF!</v>
      </c>
      <c r="AH40" s="178" t="e">
        <f t="shared" si="12"/>
        <v>#REF!</v>
      </c>
      <c r="AI40" s="178" t="e">
        <f t="shared" si="12"/>
        <v>#REF!</v>
      </c>
      <c r="AJ40" s="178" t="e">
        <f t="shared" si="12"/>
        <v>#REF!</v>
      </c>
      <c r="AK40" s="178" t="e">
        <f t="shared" si="12"/>
        <v>#REF!</v>
      </c>
      <c r="AL40" s="178" t="e">
        <f t="shared" si="12"/>
        <v>#REF!</v>
      </c>
      <c r="AM40" s="178" t="e">
        <f t="shared" si="12"/>
        <v>#REF!</v>
      </c>
      <c r="AN40" s="178" t="e">
        <f t="shared" si="3"/>
        <v>#REF!</v>
      </c>
    </row>
    <row r="41" ht="15" customHeight="true" spans="2:40">
      <c r="B41" s="191">
        <v>5</v>
      </c>
      <c r="C41" s="15" t="s">
        <v>758</v>
      </c>
      <c r="D41" s="26">
        <f>资金来源运用!D30</f>
        <v>0</v>
      </c>
      <c r="E41" s="26">
        <f>资金来源运用!E30</f>
        <v>0</v>
      </c>
      <c r="F41" s="26" t="e">
        <f>资金来源运用!F30</f>
        <v>#REF!</v>
      </c>
      <c r="G41" s="26">
        <f>资金来源运用!G30</f>
        <v>0</v>
      </c>
      <c r="H41" s="26">
        <f>资金来源运用!H30</f>
        <v>0</v>
      </c>
      <c r="I41" s="178">
        <f>资金来源运用!I30</f>
        <v>0</v>
      </c>
      <c r="J41" s="178" t="e">
        <f>资金来源运用!J30</f>
        <v>#REF!</v>
      </c>
      <c r="K41" s="178" t="e">
        <f>资金来源运用!K30</f>
        <v>#REF!</v>
      </c>
      <c r="L41" s="178" t="e">
        <f>资金来源运用!L30</f>
        <v>#REF!</v>
      </c>
      <c r="M41" s="178" t="e">
        <f>资金来源运用!M30</f>
        <v>#REF!</v>
      </c>
      <c r="N41" s="178" t="e">
        <f>资金来源运用!N30</f>
        <v>#REF!</v>
      </c>
      <c r="O41" s="178" t="e">
        <f>资金来源运用!O30</f>
        <v>#REF!</v>
      </c>
      <c r="P41" s="178" t="e">
        <f>资金来源运用!P30</f>
        <v>#REF!</v>
      </c>
      <c r="Q41" s="178" t="e">
        <f>资金来源运用!Q30</f>
        <v>#REF!</v>
      </c>
      <c r="R41" s="178" t="e">
        <f>资金来源运用!R30</f>
        <v>#REF!</v>
      </c>
      <c r="S41" s="178" t="e">
        <f>资金来源运用!S30</f>
        <v>#REF!</v>
      </c>
      <c r="T41" s="178" t="e">
        <f>资金来源运用!T30</f>
        <v>#REF!</v>
      </c>
      <c r="U41" s="178" t="e">
        <f>资金来源运用!U30</f>
        <v>#REF!</v>
      </c>
      <c r="V41" s="178" t="e">
        <f>资金来源运用!V30</f>
        <v>#REF!</v>
      </c>
      <c r="W41" s="178" t="e">
        <f>资金来源运用!W30</f>
        <v>#REF!</v>
      </c>
      <c r="X41" s="178" t="e">
        <f>资金来源运用!X30</f>
        <v>#REF!</v>
      </c>
      <c r="Y41" s="178" t="e">
        <f>资金来源运用!Y30</f>
        <v>#REF!</v>
      </c>
      <c r="Z41" s="178" t="e">
        <f>资金来源运用!Z30</f>
        <v>#REF!</v>
      </c>
      <c r="AA41" s="178" t="e">
        <f>资金来源运用!AA30</f>
        <v>#REF!</v>
      </c>
      <c r="AB41" s="178" t="e">
        <f>资金来源运用!AB30</f>
        <v>#REF!</v>
      </c>
      <c r="AC41" s="178" t="e">
        <f>资金来源运用!AC30</f>
        <v>#REF!</v>
      </c>
      <c r="AD41" s="178" t="e">
        <f>资金来源运用!AD30</f>
        <v>#REF!</v>
      </c>
      <c r="AE41" s="178" t="e">
        <f>资金来源运用!AE30</f>
        <v>#REF!</v>
      </c>
      <c r="AF41" s="178" t="e">
        <f>资金来源运用!AF30</f>
        <v>#REF!</v>
      </c>
      <c r="AG41" s="178" t="e">
        <f>资金来源运用!AG30</f>
        <v>#REF!</v>
      </c>
      <c r="AH41" s="178" t="e">
        <f>资金来源运用!AH30</f>
        <v>#REF!</v>
      </c>
      <c r="AI41" s="178">
        <f>资金来源运用!AI30</f>
        <v>0</v>
      </c>
      <c r="AJ41" s="178">
        <f>资金来源运用!AJ30</f>
        <v>0</v>
      </c>
      <c r="AK41" s="178">
        <f>资金来源运用!AK30</f>
        <v>0</v>
      </c>
      <c r="AL41" s="178">
        <f>资金来源运用!AL30</f>
        <v>0</v>
      </c>
      <c r="AM41" s="178">
        <f>资金来源运用!AM30</f>
        <v>0</v>
      </c>
      <c r="AN41" s="178"/>
    </row>
    <row r="43" spans="7:17">
      <c r="G43" s="28"/>
      <c r="J43" s="36" t="e">
        <f t="shared" ref="J43:Q43" si="13">-J41</f>
        <v>#REF!</v>
      </c>
      <c r="K43" s="36" t="e">
        <f t="shared" si="13"/>
        <v>#REF!</v>
      </c>
      <c r="L43" s="36" t="e">
        <f t="shared" si="13"/>
        <v>#REF!</v>
      </c>
      <c r="M43" s="36" t="e">
        <f t="shared" si="13"/>
        <v>#REF!</v>
      </c>
      <c r="N43" s="36" t="e">
        <f t="shared" si="13"/>
        <v>#REF!</v>
      </c>
      <c r="O43" s="36" t="e">
        <f t="shared" si="13"/>
        <v>#REF!</v>
      </c>
      <c r="P43" s="36" t="e">
        <f t="shared" si="13"/>
        <v>#REF!</v>
      </c>
      <c r="Q43" s="36" t="e">
        <f t="shared" si="13"/>
        <v>#REF!</v>
      </c>
    </row>
    <row r="44" spans="3:3">
      <c r="C44" s="23"/>
    </row>
  </sheetData>
  <mergeCells count="5">
    <mergeCell ref="B1:AN1"/>
    <mergeCell ref="B2:AN2"/>
    <mergeCell ref="D4:I4"/>
    <mergeCell ref="J4:AM4"/>
    <mergeCell ref="AN4:AN5"/>
  </mergeCells>
  <printOptions horizontalCentered="true"/>
  <pageMargins left="0.236220472440945" right="0.15748031496063" top="0.61" bottom="0.21" header="0.3" footer="0.17"/>
  <pageSetup paperSize="9" scale="85" orientation="landscape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BE38"/>
  <sheetViews>
    <sheetView showZeros="0" view="pageBreakPreview" zoomScaleNormal="100" zoomScaleSheetLayoutView="100" workbookViewId="0">
      <selection activeCell="H113" sqref="H113"/>
    </sheetView>
  </sheetViews>
  <sheetFormatPr defaultColWidth="10" defaultRowHeight="10.5"/>
  <cols>
    <col min="1" max="1" width="2.625" style="2" customWidth="true"/>
    <col min="2" max="2" width="4.5" style="2" customWidth="true"/>
    <col min="3" max="3" width="16.625" style="2" customWidth="true"/>
    <col min="4" max="4" width="7.625" style="2" hidden="true" customWidth="true" outlineLevel="1"/>
    <col min="5" max="5" width="8.375" style="2" hidden="true" customWidth="true" outlineLevel="1"/>
    <col min="6" max="7" width="5.875" style="2" hidden="true" customWidth="true" outlineLevel="1"/>
    <col min="8" max="8" width="7.5" style="2" customWidth="true" collapsed="true"/>
    <col min="9" max="9" width="7.625" style="2" customWidth="true"/>
    <col min="10" max="29" width="6.25" style="2" customWidth="true"/>
    <col min="30" max="30" width="8.625" style="2" customWidth="true"/>
    <col min="31" max="34" width="8.75" style="2" customWidth="true"/>
    <col min="35" max="36" width="8.75" style="2" hidden="true" customWidth="true" outlineLevel="1"/>
    <col min="37" max="38" width="8.625" style="2" hidden="true" customWidth="true" outlineLevel="1"/>
    <col min="39" max="39" width="7.875" style="2" hidden="true" customWidth="true" outlineLevel="1"/>
    <col min="40" max="40" width="10" style="2" collapsed="true"/>
    <col min="41" max="42" width="10" style="2" hidden="true" customWidth="true"/>
    <col min="43" max="16384" width="10" style="2"/>
  </cols>
  <sheetData>
    <row r="1" s="1" customFormat="true" ht="22.5" customHeight="true" spans="2:40">
      <c r="B1" s="122" t="s">
        <v>759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88"/>
    </row>
    <row r="2" ht="14.25" customHeight="true" spans="2:39">
      <c r="B2" s="23" t="s">
        <v>718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ht="0.75" customHeight="true" spans="2:39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</row>
    <row r="4" s="1" customFormat="true" ht="14.25" spans="2:39">
      <c r="B4" s="125" t="s">
        <v>493</v>
      </c>
      <c r="C4" s="126" t="s">
        <v>618</v>
      </c>
      <c r="D4" s="41" t="s">
        <v>512</v>
      </c>
      <c r="E4" s="171"/>
      <c r="F4" s="171"/>
      <c r="G4" s="171"/>
      <c r="H4" s="171"/>
      <c r="I4" s="174"/>
      <c r="J4" s="175"/>
      <c r="K4" s="176"/>
      <c r="L4" s="176"/>
      <c r="M4" s="176"/>
      <c r="N4" s="176"/>
      <c r="O4" s="176"/>
      <c r="P4" s="176"/>
      <c r="Q4" s="176"/>
      <c r="R4" s="176"/>
      <c r="S4" s="184" t="s">
        <v>621</v>
      </c>
      <c r="T4" s="176"/>
      <c r="U4" s="176"/>
      <c r="V4" s="176"/>
      <c r="W4" s="176"/>
      <c r="X4" s="176"/>
      <c r="Y4" s="176"/>
      <c r="Z4" s="176"/>
      <c r="AA4" s="176"/>
      <c r="AB4" s="176"/>
      <c r="AC4" s="185"/>
      <c r="AD4" s="175"/>
      <c r="AE4" s="176"/>
      <c r="AF4" s="176"/>
      <c r="AG4" s="176"/>
      <c r="AH4" s="176"/>
      <c r="AI4" s="176"/>
      <c r="AJ4" s="176"/>
      <c r="AK4" s="176"/>
      <c r="AL4" s="176"/>
      <c r="AM4" s="185"/>
    </row>
    <row r="5" s="1" customFormat="true" ht="14.25" spans="2:39">
      <c r="B5" s="127" t="s">
        <v>496</v>
      </c>
      <c r="C5" s="8" t="s">
        <v>475</v>
      </c>
      <c r="D5" s="9">
        <f t="shared" ref="D5:H5" si="0">E5-1</f>
        <v>-3</v>
      </c>
      <c r="E5" s="9">
        <f t="shared" si="0"/>
        <v>-2</v>
      </c>
      <c r="F5" s="9">
        <f t="shared" si="0"/>
        <v>-1</v>
      </c>
      <c r="G5" s="9">
        <f t="shared" si="0"/>
        <v>0</v>
      </c>
      <c r="H5" s="9">
        <f t="shared" si="0"/>
        <v>1</v>
      </c>
      <c r="I5" s="9">
        <f>现金流量!I5</f>
        <v>2</v>
      </c>
      <c r="J5" s="32">
        <f t="shared" ref="J5:AM5" si="1">I5+1</f>
        <v>3</v>
      </c>
      <c r="K5" s="32">
        <f t="shared" si="1"/>
        <v>4</v>
      </c>
      <c r="L5" s="32">
        <f t="shared" si="1"/>
        <v>5</v>
      </c>
      <c r="M5" s="32">
        <f t="shared" si="1"/>
        <v>6</v>
      </c>
      <c r="N5" s="32">
        <f t="shared" si="1"/>
        <v>7</v>
      </c>
      <c r="O5" s="32">
        <f t="shared" si="1"/>
        <v>8</v>
      </c>
      <c r="P5" s="32">
        <f t="shared" si="1"/>
        <v>9</v>
      </c>
      <c r="Q5" s="32">
        <f t="shared" si="1"/>
        <v>10</v>
      </c>
      <c r="R5" s="32">
        <f t="shared" si="1"/>
        <v>11</v>
      </c>
      <c r="S5" s="32">
        <f t="shared" si="1"/>
        <v>12</v>
      </c>
      <c r="T5" s="32">
        <f t="shared" si="1"/>
        <v>13</v>
      </c>
      <c r="U5" s="32">
        <f t="shared" si="1"/>
        <v>14</v>
      </c>
      <c r="V5" s="32">
        <f t="shared" si="1"/>
        <v>15</v>
      </c>
      <c r="W5" s="32">
        <f t="shared" si="1"/>
        <v>16</v>
      </c>
      <c r="X5" s="32">
        <f t="shared" si="1"/>
        <v>17</v>
      </c>
      <c r="Y5" s="32">
        <f t="shared" si="1"/>
        <v>18</v>
      </c>
      <c r="Z5" s="32">
        <f t="shared" si="1"/>
        <v>19</v>
      </c>
      <c r="AA5" s="32">
        <f t="shared" si="1"/>
        <v>20</v>
      </c>
      <c r="AB5" s="32">
        <f t="shared" si="1"/>
        <v>21</v>
      </c>
      <c r="AC5" s="32">
        <f t="shared" si="1"/>
        <v>22</v>
      </c>
      <c r="AD5" s="32">
        <f t="shared" si="1"/>
        <v>23</v>
      </c>
      <c r="AE5" s="32">
        <f t="shared" si="1"/>
        <v>24</v>
      </c>
      <c r="AF5" s="32">
        <f t="shared" si="1"/>
        <v>25</v>
      </c>
      <c r="AG5" s="32">
        <f t="shared" si="1"/>
        <v>26</v>
      </c>
      <c r="AH5" s="32">
        <f t="shared" si="1"/>
        <v>27</v>
      </c>
      <c r="AI5" s="32">
        <f t="shared" si="1"/>
        <v>28</v>
      </c>
      <c r="AJ5" s="32">
        <f t="shared" si="1"/>
        <v>29</v>
      </c>
      <c r="AK5" s="32">
        <f t="shared" si="1"/>
        <v>30</v>
      </c>
      <c r="AL5" s="32">
        <f t="shared" si="1"/>
        <v>31</v>
      </c>
      <c r="AM5" s="32">
        <f t="shared" si="1"/>
        <v>32</v>
      </c>
    </row>
    <row r="6" ht="15" customHeight="true" spans="2:39">
      <c r="B6" s="14">
        <v>1</v>
      </c>
      <c r="C6" s="14" t="s">
        <v>760</v>
      </c>
      <c r="D6" s="15"/>
      <c r="E6" s="15"/>
      <c r="F6" s="15"/>
      <c r="G6" s="15"/>
      <c r="H6" s="15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ht="15" customHeight="true" spans="2:39">
      <c r="B7" s="19">
        <v>1.1</v>
      </c>
      <c r="C7" s="15" t="s">
        <v>761</v>
      </c>
      <c r="D7" s="15"/>
      <c r="E7" s="15"/>
      <c r="F7" s="26"/>
      <c r="G7" s="26"/>
      <c r="H7" s="26"/>
      <c r="I7" s="178"/>
      <c r="J7" s="178" t="e">
        <f t="shared" ref="J7:AM7" si="2">J8+J9+J10+J11</f>
        <v>#REF!</v>
      </c>
      <c r="K7" s="178" t="e">
        <f t="shared" si="2"/>
        <v>#REF!</v>
      </c>
      <c r="L7" s="178" t="e">
        <f t="shared" si="2"/>
        <v>#REF!</v>
      </c>
      <c r="M7" s="178" t="e">
        <f t="shared" si="2"/>
        <v>#REF!</v>
      </c>
      <c r="N7" s="178" t="e">
        <f t="shared" si="2"/>
        <v>#REF!</v>
      </c>
      <c r="O7" s="178" t="e">
        <f t="shared" si="2"/>
        <v>#REF!</v>
      </c>
      <c r="P7" s="178" t="e">
        <f t="shared" si="2"/>
        <v>#REF!</v>
      </c>
      <c r="Q7" s="178" t="e">
        <f t="shared" si="2"/>
        <v>#REF!</v>
      </c>
      <c r="R7" s="178" t="e">
        <f t="shared" si="2"/>
        <v>#REF!</v>
      </c>
      <c r="S7" s="178" t="e">
        <f t="shared" si="2"/>
        <v>#REF!</v>
      </c>
      <c r="T7" s="178" t="e">
        <f t="shared" si="2"/>
        <v>#REF!</v>
      </c>
      <c r="U7" s="178" t="e">
        <f t="shared" si="2"/>
        <v>#REF!</v>
      </c>
      <c r="V7" s="178" t="e">
        <f t="shared" si="2"/>
        <v>#REF!</v>
      </c>
      <c r="W7" s="178" t="e">
        <f t="shared" si="2"/>
        <v>#REF!</v>
      </c>
      <c r="X7" s="178" t="e">
        <f t="shared" si="2"/>
        <v>#REF!</v>
      </c>
      <c r="Y7" s="178" t="e">
        <f t="shared" si="2"/>
        <v>#REF!</v>
      </c>
      <c r="Z7" s="178" t="e">
        <f t="shared" si="2"/>
        <v>#REF!</v>
      </c>
      <c r="AA7" s="178" t="e">
        <f t="shared" si="2"/>
        <v>#REF!</v>
      </c>
      <c r="AB7" s="178" t="e">
        <f t="shared" si="2"/>
        <v>#REF!</v>
      </c>
      <c r="AC7" s="178" t="e">
        <f t="shared" si="2"/>
        <v>#REF!</v>
      </c>
      <c r="AD7" s="26" t="e">
        <f t="shared" si="2"/>
        <v>#REF!</v>
      </c>
      <c r="AE7" s="26" t="e">
        <f t="shared" si="2"/>
        <v>#REF!</v>
      </c>
      <c r="AF7" s="26" t="e">
        <f t="shared" si="2"/>
        <v>#REF!</v>
      </c>
      <c r="AG7" s="26" t="e">
        <f t="shared" si="2"/>
        <v>#REF!</v>
      </c>
      <c r="AH7" s="26" t="e">
        <f t="shared" si="2"/>
        <v>#REF!</v>
      </c>
      <c r="AI7" s="26">
        <f t="shared" si="2"/>
        <v>0</v>
      </c>
      <c r="AJ7" s="26">
        <f t="shared" si="2"/>
        <v>0</v>
      </c>
      <c r="AK7" s="26">
        <f t="shared" si="2"/>
        <v>0</v>
      </c>
      <c r="AL7" s="26">
        <f t="shared" si="2"/>
        <v>0</v>
      </c>
      <c r="AM7" s="26">
        <f t="shared" si="2"/>
        <v>0</v>
      </c>
    </row>
    <row r="8" ht="15" customHeight="true" spans="2:39">
      <c r="B8" s="19" t="s">
        <v>720</v>
      </c>
      <c r="C8" s="15" t="s">
        <v>623</v>
      </c>
      <c r="D8" s="15"/>
      <c r="E8" s="15"/>
      <c r="F8" s="26"/>
      <c r="G8" s="26"/>
      <c r="H8" s="26"/>
      <c r="I8" s="178"/>
      <c r="J8" s="179" t="e">
        <f>流动资金!F7</f>
        <v>#REF!</v>
      </c>
      <c r="K8" s="179" t="e">
        <f>流动资金!G7</f>
        <v>#REF!</v>
      </c>
      <c r="L8" s="179" t="e">
        <f>流动资金!H7</f>
        <v>#REF!</v>
      </c>
      <c r="M8" s="179" t="e">
        <f>流动资金!I7</f>
        <v>#REF!</v>
      </c>
      <c r="N8" s="179" t="e">
        <f>流动资金!J7</f>
        <v>#REF!</v>
      </c>
      <c r="O8" s="179" t="e">
        <f>流动资金!K7</f>
        <v>#REF!</v>
      </c>
      <c r="P8" s="179" t="e">
        <f>流动资金!L7</f>
        <v>#REF!</v>
      </c>
      <c r="Q8" s="179" t="e">
        <f>流动资金!M7</f>
        <v>#REF!</v>
      </c>
      <c r="R8" s="179" t="e">
        <f>流动资金!N7</f>
        <v>#REF!</v>
      </c>
      <c r="S8" s="179" t="e">
        <f>流动资金!O7</f>
        <v>#REF!</v>
      </c>
      <c r="T8" s="179" t="e">
        <f>流动资金!P7</f>
        <v>#REF!</v>
      </c>
      <c r="U8" s="179" t="e">
        <f>流动资金!Q7</f>
        <v>#REF!</v>
      </c>
      <c r="V8" s="179" t="e">
        <f>流动资金!R7</f>
        <v>#REF!</v>
      </c>
      <c r="W8" s="179" t="e">
        <f>流动资金!S7</f>
        <v>#REF!</v>
      </c>
      <c r="X8" s="179" t="e">
        <f>流动资金!T7</f>
        <v>#REF!</v>
      </c>
      <c r="Y8" s="179" t="e">
        <f>流动资金!U7</f>
        <v>#REF!</v>
      </c>
      <c r="Z8" s="179" t="e">
        <f>流动资金!V7</f>
        <v>#REF!</v>
      </c>
      <c r="AA8" s="179" t="e">
        <f>流动资金!W7</f>
        <v>#REF!</v>
      </c>
      <c r="AB8" s="179" t="e">
        <f>流动资金!X7</f>
        <v>#REF!</v>
      </c>
      <c r="AC8" s="179" t="e">
        <f>流动资金!Y7</f>
        <v>#REF!</v>
      </c>
      <c r="AD8" s="186" t="e">
        <f>流动资金!Z7</f>
        <v>#REF!</v>
      </c>
      <c r="AE8" s="186" t="e">
        <f>流动资金!AA7</f>
        <v>#REF!</v>
      </c>
      <c r="AF8" s="186" t="e">
        <f>流动资金!AB7</f>
        <v>#REF!</v>
      </c>
      <c r="AG8" s="186" t="e">
        <f>流动资金!AC7</f>
        <v>#REF!</v>
      </c>
      <c r="AH8" s="186" t="e">
        <f>流动资金!AD7</f>
        <v>#REF!</v>
      </c>
      <c r="AI8" s="186">
        <f>流动资金!AE7</f>
        <v>0</v>
      </c>
      <c r="AJ8" s="186">
        <f>流动资金!AF7</f>
        <v>0</v>
      </c>
      <c r="AK8" s="186">
        <f>流动资金!AG7</f>
        <v>0</v>
      </c>
      <c r="AL8" s="186">
        <f>流动资金!AH7</f>
        <v>0</v>
      </c>
      <c r="AM8" s="186">
        <f>流动资金!AI7</f>
        <v>0</v>
      </c>
    </row>
    <row r="9" ht="15" customHeight="true" spans="2:39">
      <c r="B9" s="19" t="s">
        <v>722</v>
      </c>
      <c r="C9" s="15" t="s">
        <v>624</v>
      </c>
      <c r="D9" s="15"/>
      <c r="E9" s="15"/>
      <c r="F9" s="26"/>
      <c r="G9" s="26"/>
      <c r="H9" s="26"/>
      <c r="I9" s="178"/>
      <c r="J9" s="179">
        <f>流动资金!F8</f>
        <v>0.502656</v>
      </c>
      <c r="K9" s="179">
        <f>流动资金!G8</f>
        <v>0.565488</v>
      </c>
      <c r="L9" s="179">
        <f>流动资金!H8</f>
        <v>0.62832</v>
      </c>
      <c r="M9" s="179">
        <f>流动资金!I8</f>
        <v>0.62832</v>
      </c>
      <c r="N9" s="179">
        <f>流动资金!J8</f>
        <v>0.62832</v>
      </c>
      <c r="O9" s="179">
        <f>流动资金!K8</f>
        <v>0.62832</v>
      </c>
      <c r="P9" s="179">
        <f>流动资金!L8</f>
        <v>0.62832</v>
      </c>
      <c r="Q9" s="179">
        <f>流动资金!M8</f>
        <v>0.62832</v>
      </c>
      <c r="R9" s="179">
        <f>流动资金!N8</f>
        <v>0.62832</v>
      </c>
      <c r="S9" s="179">
        <f>流动资金!O8</f>
        <v>0.62832</v>
      </c>
      <c r="T9" s="179">
        <f>流动资金!P8</f>
        <v>0.62832</v>
      </c>
      <c r="U9" s="179">
        <f>流动资金!Q8</f>
        <v>0.62832</v>
      </c>
      <c r="V9" s="179">
        <f>流动资金!R8</f>
        <v>0.62832</v>
      </c>
      <c r="W9" s="179">
        <f>流动资金!S8</f>
        <v>0.62832</v>
      </c>
      <c r="X9" s="179">
        <f>流动资金!T8</f>
        <v>0.62832</v>
      </c>
      <c r="Y9" s="179">
        <f>流动资金!U8</f>
        <v>0.62832</v>
      </c>
      <c r="Z9" s="179">
        <f>流动资金!V8</f>
        <v>0.62832</v>
      </c>
      <c r="AA9" s="179">
        <f>流动资金!W8</f>
        <v>0.62832</v>
      </c>
      <c r="AB9" s="179">
        <f>流动资金!X8</f>
        <v>0.62832</v>
      </c>
      <c r="AC9" s="179">
        <f>流动资金!Y8</f>
        <v>0.62832</v>
      </c>
      <c r="AD9" s="186">
        <f>流动资金!Z8</f>
        <v>0.62832</v>
      </c>
      <c r="AE9" s="186">
        <f>流动资金!AA8</f>
        <v>0.62832</v>
      </c>
      <c r="AF9" s="186">
        <f>流动资金!AB8</f>
        <v>0.62832</v>
      </c>
      <c r="AG9" s="186">
        <f>流动资金!AC8</f>
        <v>0.62832</v>
      </c>
      <c r="AH9" s="186">
        <f>流动资金!AD8</f>
        <v>0.62832</v>
      </c>
      <c r="AI9" s="186">
        <f>流动资金!AE8</f>
        <v>0</v>
      </c>
      <c r="AJ9" s="186">
        <f>流动资金!AF8</f>
        <v>0</v>
      </c>
      <c r="AK9" s="186">
        <f>流动资金!AG8</f>
        <v>0</v>
      </c>
      <c r="AL9" s="186">
        <f>流动资金!AH8</f>
        <v>0</v>
      </c>
      <c r="AM9" s="186">
        <f>流动资金!AI8</f>
        <v>0</v>
      </c>
    </row>
    <row r="10" ht="15" customHeight="true" spans="2:39">
      <c r="B10" s="19" t="s">
        <v>724</v>
      </c>
      <c r="C10" s="15" t="s">
        <v>625</v>
      </c>
      <c r="D10" s="15"/>
      <c r="E10" s="15"/>
      <c r="F10" s="26"/>
      <c r="G10" s="26"/>
      <c r="H10" s="26"/>
      <c r="I10" s="178"/>
      <c r="J10" s="179" t="e">
        <f>流动资金!F9</f>
        <v>#REF!</v>
      </c>
      <c r="K10" s="179" t="e">
        <f>流动资金!G9</f>
        <v>#REF!</v>
      </c>
      <c r="L10" s="179" t="e">
        <f>流动资金!H9</f>
        <v>#REF!</v>
      </c>
      <c r="M10" s="179" t="e">
        <f>流动资金!I9</f>
        <v>#REF!</v>
      </c>
      <c r="N10" s="179" t="e">
        <f>流动资金!J9</f>
        <v>#REF!</v>
      </c>
      <c r="O10" s="179" t="e">
        <f>流动资金!K9</f>
        <v>#REF!</v>
      </c>
      <c r="P10" s="179" t="e">
        <f>流动资金!L9</f>
        <v>#REF!</v>
      </c>
      <c r="Q10" s="179" t="e">
        <f>流动资金!M9</f>
        <v>#REF!</v>
      </c>
      <c r="R10" s="179" t="e">
        <f>流动资金!N9</f>
        <v>#REF!</v>
      </c>
      <c r="S10" s="179" t="e">
        <f>流动资金!O9</f>
        <v>#REF!</v>
      </c>
      <c r="T10" s="179" t="e">
        <f>流动资金!P9</f>
        <v>#REF!</v>
      </c>
      <c r="U10" s="179" t="e">
        <f>流动资金!Q9</f>
        <v>#REF!</v>
      </c>
      <c r="V10" s="179" t="e">
        <f>流动资金!R9</f>
        <v>#REF!</v>
      </c>
      <c r="W10" s="179" t="e">
        <f>流动资金!S9</f>
        <v>#REF!</v>
      </c>
      <c r="X10" s="179" t="e">
        <f>流动资金!T9</f>
        <v>#REF!</v>
      </c>
      <c r="Y10" s="179" t="e">
        <f>流动资金!U9</f>
        <v>#REF!</v>
      </c>
      <c r="Z10" s="179" t="e">
        <f>流动资金!V9</f>
        <v>#REF!</v>
      </c>
      <c r="AA10" s="179" t="e">
        <f>流动资金!W9</f>
        <v>#REF!</v>
      </c>
      <c r="AB10" s="179" t="e">
        <f>流动资金!X9</f>
        <v>#REF!</v>
      </c>
      <c r="AC10" s="179" t="e">
        <f>流动资金!Y9</f>
        <v>#REF!</v>
      </c>
      <c r="AD10" s="186" t="e">
        <f>流动资金!Z9</f>
        <v>#REF!</v>
      </c>
      <c r="AE10" s="186" t="e">
        <f>流动资金!AA9</f>
        <v>#REF!</v>
      </c>
      <c r="AF10" s="186" t="e">
        <f>流动资金!AB9</f>
        <v>#REF!</v>
      </c>
      <c r="AG10" s="186" t="e">
        <f>流动资金!AC9</f>
        <v>#REF!</v>
      </c>
      <c r="AH10" s="186" t="e">
        <f>流动资金!AD9</f>
        <v>#REF!</v>
      </c>
      <c r="AI10" s="186">
        <f>流动资金!AE9</f>
        <v>0</v>
      </c>
      <c r="AJ10" s="186">
        <f>流动资金!AF9</f>
        <v>0</v>
      </c>
      <c r="AK10" s="186">
        <f>流动资金!AG9</f>
        <v>0</v>
      </c>
      <c r="AL10" s="186">
        <f>流动资金!AH9</f>
        <v>0</v>
      </c>
      <c r="AM10" s="186">
        <f>流动资金!AI9</f>
        <v>0</v>
      </c>
    </row>
    <row r="11" ht="15" customHeight="true" spans="2:39">
      <c r="B11" s="19" t="s">
        <v>762</v>
      </c>
      <c r="C11" s="15" t="s">
        <v>504</v>
      </c>
      <c r="D11" s="15"/>
      <c r="E11" s="15"/>
      <c r="F11" s="26"/>
      <c r="G11" s="26"/>
      <c r="H11" s="26"/>
      <c r="I11" s="178"/>
      <c r="J11" s="178" t="e">
        <f>IF(J5=zq,资金来源运用!J30-资金来源运用!J16,资金来源运用!J30)</f>
        <v>#REF!</v>
      </c>
      <c r="K11" s="178" t="e">
        <f>IF(K5=zq,资金来源运用!K30-资金来源运用!K16,资金来源运用!K30)</f>
        <v>#REF!</v>
      </c>
      <c r="L11" s="178" t="e">
        <f>IF(L5=zq,资金来源运用!L30-资金来源运用!L16,资金来源运用!L30)</f>
        <v>#REF!</v>
      </c>
      <c r="M11" s="178" t="e">
        <f>IF(M5=zq,资金来源运用!M30-资金来源运用!M16,资金来源运用!M30)</f>
        <v>#REF!</v>
      </c>
      <c r="N11" s="178" t="e">
        <f>IF(N5=zq,资金来源运用!N30-资金来源运用!N16,资金来源运用!N30)</f>
        <v>#REF!</v>
      </c>
      <c r="O11" s="178" t="e">
        <f>IF(O5=zq,资金来源运用!O30-资金来源运用!O16,资金来源运用!O30)</f>
        <v>#REF!</v>
      </c>
      <c r="P11" s="178" t="e">
        <f>IF(P5=zq,资金来源运用!P30-资金来源运用!P16,资金来源运用!P30)</f>
        <v>#REF!</v>
      </c>
      <c r="Q11" s="178" t="e">
        <f>IF(Q5=zq,资金来源运用!Q30-资金来源运用!Q16,资金来源运用!Q30)</f>
        <v>#REF!</v>
      </c>
      <c r="R11" s="178" t="e">
        <f>IF(R5=zq,资金来源运用!R30-资金来源运用!R16,资金来源运用!R30)</f>
        <v>#REF!</v>
      </c>
      <c r="S11" s="178" t="e">
        <f>IF(S5=zq,资金来源运用!S30-资金来源运用!S16,资金来源运用!S30)</f>
        <v>#REF!</v>
      </c>
      <c r="T11" s="178" t="e">
        <f>IF(T5=zq,资金来源运用!T30-资金来源运用!T16,资金来源运用!T30)</f>
        <v>#REF!</v>
      </c>
      <c r="U11" s="178" t="e">
        <f>IF(U5=zq,资金来源运用!U30-资金来源运用!U16,资金来源运用!U30)</f>
        <v>#REF!</v>
      </c>
      <c r="V11" s="178" t="e">
        <f>IF(V5=zq,资金来源运用!V30-资金来源运用!V16,资金来源运用!V30)</f>
        <v>#REF!</v>
      </c>
      <c r="W11" s="178" t="e">
        <f>IF(W5=zq,资金来源运用!W30-资金来源运用!W16,资金来源运用!W30)</f>
        <v>#REF!</v>
      </c>
      <c r="X11" s="178" t="e">
        <f>IF(X5=zq,资金来源运用!X30-资金来源运用!X16,资金来源运用!X30)</f>
        <v>#REF!</v>
      </c>
      <c r="Y11" s="178" t="e">
        <f>IF(Y5=zq,资金来源运用!Y30-资金来源运用!Y16,资金来源运用!Y30)</f>
        <v>#REF!</v>
      </c>
      <c r="Z11" s="178" t="e">
        <f>IF(Z5=zq,资金来源运用!Z30-资金来源运用!Z16,资金来源运用!Z30)</f>
        <v>#REF!</v>
      </c>
      <c r="AA11" s="178" t="e">
        <f>IF(AA5=zq,资金来源运用!AA30-资金来源运用!AA16,资金来源运用!AA30)</f>
        <v>#REF!</v>
      </c>
      <c r="AB11" s="178" t="e">
        <f>IF(AB5=zq,资金来源运用!AB30-资金来源运用!AB16,资金来源运用!AB30)</f>
        <v>#REF!</v>
      </c>
      <c r="AC11" s="178" t="e">
        <f>IF(AC5=zq,资金来源运用!AC30-资金来源运用!AC16,资金来源运用!AC30)</f>
        <v>#REF!</v>
      </c>
      <c r="AD11" s="26" t="e">
        <f>IF(AD5=zq,资金来源运用!AD30-资金来源运用!AD16,资金来源运用!AD30)</f>
        <v>#REF!</v>
      </c>
      <c r="AE11" s="26" t="e">
        <f>IF(AE5=zq,资金来源运用!AE30-资金来源运用!AE16,资金来源运用!AE30)</f>
        <v>#REF!</v>
      </c>
      <c r="AF11" s="26" t="e">
        <f>IF(AF5=zq,资金来源运用!AF30-资金来源运用!AF16,资金来源运用!AF30)</f>
        <v>#REF!</v>
      </c>
      <c r="AG11" s="26" t="e">
        <f>IF(AG5=zq,资金来源运用!AG30-资金来源运用!AG16,资金来源运用!AG30)</f>
        <v>#REF!</v>
      </c>
      <c r="AH11" s="26" t="e">
        <f>IF(AH5=zq,资金来源运用!AH30-资金来源运用!AH16,资金来源运用!AH30)</f>
        <v>#REF!</v>
      </c>
      <c r="AI11" s="26">
        <f>IF(AI5=zq,资金来源运用!AI30-资金来源运用!AI16,资金来源运用!AI30)</f>
        <v>0</v>
      </c>
      <c r="AJ11" s="26">
        <f>IF(AJ5=zq,资金来源运用!AJ30-资金来源运用!AJ16,资金来源运用!AJ30)</f>
        <v>0</v>
      </c>
      <c r="AK11" s="26">
        <f>IF(AK5=zq,资金来源运用!AK30-资金来源运用!AK16,资金来源运用!AK30)</f>
        <v>0</v>
      </c>
      <c r="AL11" s="26">
        <f>IF(AL5=zq,资金来源运用!AL30-资金来源运用!AL16,资金来源运用!AL30)</f>
        <v>0</v>
      </c>
      <c r="AM11" s="26">
        <f>IF(AM5=zq,资金来源运用!AM30-资金来源运用!AM16,资金来源运用!AM30)</f>
        <v>0</v>
      </c>
    </row>
    <row r="12" ht="15" customHeight="true" spans="2:39">
      <c r="B12" s="19">
        <v>1.2</v>
      </c>
      <c r="C12" s="15" t="s">
        <v>763</v>
      </c>
      <c r="D12" s="17">
        <f>资金来源运用!D28</f>
        <v>0</v>
      </c>
      <c r="E12" s="17">
        <f>资金来源运用!D28+资金来源运用!E28</f>
        <v>0</v>
      </c>
      <c r="F12" s="26" t="e">
        <f>资金来源运用!D28+资金来源运用!E28+资金来源运用!F28</f>
        <v>#REF!</v>
      </c>
      <c r="G12" s="26" t="e">
        <f>SUM(资金来源运用!D28:G28)</f>
        <v>#REF!</v>
      </c>
      <c r="H12" s="26" t="e">
        <f>SUM(资金来源运用!D28:H28)</f>
        <v>#REF!</v>
      </c>
      <c r="I12" s="178" t="e">
        <f>SUM(资金来源运用!D28:I28)</f>
        <v>#REF!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ht="15" customHeight="true" spans="2:42">
      <c r="B13" s="19">
        <v>1.3</v>
      </c>
      <c r="C13" s="15" t="s">
        <v>764</v>
      </c>
      <c r="D13" s="17"/>
      <c r="E13" s="17"/>
      <c r="F13" s="26"/>
      <c r="G13" s="26"/>
      <c r="H13" s="26"/>
      <c r="I13" s="178"/>
      <c r="J13" s="178" t="e">
        <f>IF(J5&lt;zq,固定资产!D7,0)</f>
        <v>#REF!</v>
      </c>
      <c r="K13" s="178" t="e">
        <f>IF(K5&lt;zq,固定资产!E7,0)</f>
        <v>#REF!</v>
      </c>
      <c r="L13" s="178" t="e">
        <f>IF(L5&lt;zq,固定资产!F7,0)</f>
        <v>#REF!</v>
      </c>
      <c r="M13" s="178" t="e">
        <f>IF(M5&lt;zq,固定资产!G7,0)</f>
        <v>#REF!</v>
      </c>
      <c r="N13" s="178" t="e">
        <f>IF(N5&lt;zq,固定资产!H7,0)</f>
        <v>#REF!</v>
      </c>
      <c r="O13" s="178" t="e">
        <f>IF(O5&lt;zq,固定资产!I7,0)</f>
        <v>#REF!</v>
      </c>
      <c r="P13" s="178" t="e">
        <f>IF(P5&lt;zq,固定资产!J7,0)</f>
        <v>#REF!</v>
      </c>
      <c r="Q13" s="178" t="e">
        <f>IF(Q5&lt;zq,固定资产!K7,0)</f>
        <v>#REF!</v>
      </c>
      <c r="R13" s="178" t="e">
        <f>IF(R5&lt;zq,固定资产!L7,0)</f>
        <v>#REF!</v>
      </c>
      <c r="S13" s="178" t="e">
        <f>IF(S5&lt;zq,固定资产!M7,0)</f>
        <v>#REF!</v>
      </c>
      <c r="T13" s="178" t="e">
        <f>IF(T5&lt;zq,固定资产!N7,0)</f>
        <v>#REF!</v>
      </c>
      <c r="U13" s="178" t="e">
        <f>IF(U5&lt;zq,固定资产!O7,0)</f>
        <v>#REF!</v>
      </c>
      <c r="V13" s="178" t="e">
        <f>IF(V5&lt;zq,固定资产!P7,0)</f>
        <v>#REF!</v>
      </c>
      <c r="W13" s="178" t="e">
        <f>IF(W5&lt;zq,固定资产!Q7,0)</f>
        <v>#REF!</v>
      </c>
      <c r="X13" s="178" t="e">
        <f>IF(X5&lt;zq,固定资产!R7,0)</f>
        <v>#REF!</v>
      </c>
      <c r="Y13" s="178" t="e">
        <f>IF(Y5&lt;zq,固定资产!S7,0)</f>
        <v>#REF!</v>
      </c>
      <c r="Z13" s="178" t="e">
        <f>IF(Z5&lt;zq,固定资产!T7,0)</f>
        <v>#REF!</v>
      </c>
      <c r="AA13" s="178" t="e">
        <f>IF(AA5&lt;zq,固定资产!U7,0)</f>
        <v>#REF!</v>
      </c>
      <c r="AB13" s="178" t="e">
        <f>IF(AB5&lt;zq,固定资产!V7,0)</f>
        <v>#REF!</v>
      </c>
      <c r="AC13" s="178" t="e">
        <f>IF(AC5&lt;zq,固定资产!W7,0)</f>
        <v>#REF!</v>
      </c>
      <c r="AD13" s="178" t="e">
        <f>IF(AD5&lt;zq,固定资产!X7,0)</f>
        <v>#REF!</v>
      </c>
      <c r="AE13" s="178" t="e">
        <f>IF(AE5&lt;zq,固定资产!Y7,0)</f>
        <v>#REF!</v>
      </c>
      <c r="AF13" s="178" t="e">
        <f>IF(AF5&lt;zq,固定资产!Z7,0)</f>
        <v>#REF!</v>
      </c>
      <c r="AG13" s="178" t="e">
        <f>IF(AG5&lt;zq,固定资产!AA7,0)</f>
        <v>#REF!</v>
      </c>
      <c r="AH13" s="178">
        <f>IF(AH5&lt;zq,固定资产!AB7,0)</f>
        <v>0</v>
      </c>
      <c r="AI13" s="178">
        <f>IF(AI5&lt;zq,固定资产!AC7,0)</f>
        <v>0</v>
      </c>
      <c r="AJ13" s="178">
        <f>IF(AJ5&lt;zq,固定资产!AD7,0)</f>
        <v>0</v>
      </c>
      <c r="AK13" s="178">
        <f>IF(AK5&lt;zq,固定资产!AE7,0)</f>
        <v>0</v>
      </c>
      <c r="AL13" s="178">
        <f>IF(AL5&lt;zq,固定资产!AF7,0)</f>
        <v>0</v>
      </c>
      <c r="AM13" s="178">
        <f>IF(AM5&lt;zq,固定资产!AG7,0)</f>
        <v>0</v>
      </c>
      <c r="AO13" s="189" t="e">
        <f>成本!$F$36+成本!$D$48*2</f>
        <v>#REF!</v>
      </c>
      <c r="AP13" s="189" t="e">
        <f>成本!$F$36+成本!$D$48</f>
        <v>#REF!</v>
      </c>
    </row>
    <row r="14" ht="15" customHeight="true" spans="2:39">
      <c r="B14" s="19">
        <v>1.4</v>
      </c>
      <c r="C14" s="15" t="s">
        <v>765</v>
      </c>
      <c r="D14" s="17"/>
      <c r="E14" s="17"/>
      <c r="F14" s="26"/>
      <c r="G14" s="26"/>
      <c r="H14" s="26"/>
      <c r="I14" s="178"/>
      <c r="J14" s="178" t="e">
        <f>成本!$D$28+成本!$D$29-年成本分析!D15</f>
        <v>#REF!</v>
      </c>
      <c r="K14" s="178" t="e">
        <f>成本!$D$28+成本!$D$29-年成本分析!E15-年成本分析!D15</f>
        <v>#REF!</v>
      </c>
      <c r="L14" s="178" t="e">
        <f>成本!$D$28+成本!$D$29-年成本分析!F15-年成本分析!E15-年成本分析!D15</f>
        <v>#REF!</v>
      </c>
      <c r="M14" s="178" t="e">
        <f>成本!$D$28+成本!$D$29-年成本分析!G15-年成本分析!F15-年成本分析!E15-年成本分析!D15</f>
        <v>#REF!</v>
      </c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ht="15" customHeight="true" spans="2:40">
      <c r="B15" s="15"/>
      <c r="C15" s="19" t="s">
        <v>766</v>
      </c>
      <c r="D15" s="17">
        <f t="shared" ref="D15:AM15" si="3">D7+D12+D13+D14</f>
        <v>0</v>
      </c>
      <c r="E15" s="17">
        <f t="shared" si="3"/>
        <v>0</v>
      </c>
      <c r="F15" s="26" t="e">
        <f t="shared" si="3"/>
        <v>#REF!</v>
      </c>
      <c r="G15" s="26" t="e">
        <f t="shared" si="3"/>
        <v>#REF!</v>
      </c>
      <c r="H15" s="26" t="e">
        <f t="shared" si="3"/>
        <v>#REF!</v>
      </c>
      <c r="I15" s="178" t="e">
        <f t="shared" si="3"/>
        <v>#REF!</v>
      </c>
      <c r="J15" s="178" t="e">
        <f t="shared" si="3"/>
        <v>#REF!</v>
      </c>
      <c r="K15" s="178" t="e">
        <f t="shared" si="3"/>
        <v>#REF!</v>
      </c>
      <c r="L15" s="178" t="e">
        <f t="shared" si="3"/>
        <v>#REF!</v>
      </c>
      <c r="M15" s="178" t="e">
        <f t="shared" si="3"/>
        <v>#REF!</v>
      </c>
      <c r="N15" s="178" t="e">
        <f t="shared" si="3"/>
        <v>#REF!</v>
      </c>
      <c r="O15" s="178" t="e">
        <f t="shared" si="3"/>
        <v>#REF!</v>
      </c>
      <c r="P15" s="178" t="e">
        <f t="shared" si="3"/>
        <v>#REF!</v>
      </c>
      <c r="Q15" s="178" t="e">
        <f t="shared" si="3"/>
        <v>#REF!</v>
      </c>
      <c r="R15" s="178" t="e">
        <f t="shared" si="3"/>
        <v>#REF!</v>
      </c>
      <c r="S15" s="178" t="e">
        <f t="shared" si="3"/>
        <v>#REF!</v>
      </c>
      <c r="T15" s="178" t="e">
        <f t="shared" si="3"/>
        <v>#REF!</v>
      </c>
      <c r="U15" s="178" t="e">
        <f t="shared" si="3"/>
        <v>#REF!</v>
      </c>
      <c r="V15" s="178" t="e">
        <f t="shared" si="3"/>
        <v>#REF!</v>
      </c>
      <c r="W15" s="178" t="e">
        <f t="shared" si="3"/>
        <v>#REF!</v>
      </c>
      <c r="X15" s="178" t="e">
        <f t="shared" si="3"/>
        <v>#REF!</v>
      </c>
      <c r="Y15" s="178" t="e">
        <f t="shared" si="3"/>
        <v>#REF!</v>
      </c>
      <c r="Z15" s="178" t="e">
        <f t="shared" si="3"/>
        <v>#REF!</v>
      </c>
      <c r="AA15" s="178" t="e">
        <f t="shared" si="3"/>
        <v>#REF!</v>
      </c>
      <c r="AB15" s="178" t="e">
        <f t="shared" si="3"/>
        <v>#REF!</v>
      </c>
      <c r="AC15" s="178" t="e">
        <f t="shared" si="3"/>
        <v>#REF!</v>
      </c>
      <c r="AD15" s="26" t="e">
        <f t="shared" si="3"/>
        <v>#REF!</v>
      </c>
      <c r="AE15" s="26" t="e">
        <f t="shared" si="3"/>
        <v>#REF!</v>
      </c>
      <c r="AF15" s="26" t="e">
        <f t="shared" si="3"/>
        <v>#REF!</v>
      </c>
      <c r="AG15" s="26" t="e">
        <f t="shared" si="3"/>
        <v>#REF!</v>
      </c>
      <c r="AH15" s="26" t="e">
        <f t="shared" si="3"/>
        <v>#REF!</v>
      </c>
      <c r="AI15" s="26">
        <f t="shared" si="3"/>
        <v>0</v>
      </c>
      <c r="AJ15" s="26">
        <f t="shared" si="3"/>
        <v>0</v>
      </c>
      <c r="AK15" s="26">
        <f t="shared" si="3"/>
        <v>0</v>
      </c>
      <c r="AL15" s="26">
        <f t="shared" si="3"/>
        <v>0</v>
      </c>
      <c r="AM15" s="26">
        <f t="shared" si="3"/>
        <v>0</v>
      </c>
      <c r="AN15" s="36"/>
    </row>
    <row r="16" ht="15" customHeight="true" spans="2:39">
      <c r="B16" s="14">
        <v>2</v>
      </c>
      <c r="C16" s="14" t="s">
        <v>767</v>
      </c>
      <c r="D16" s="17"/>
      <c r="E16" s="17"/>
      <c r="F16" s="26"/>
      <c r="G16" s="26"/>
      <c r="H16" s="26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ht="15" customHeight="true" spans="1:39">
      <c r="A17" s="161"/>
      <c r="B17" s="19">
        <v>2.1</v>
      </c>
      <c r="C17" s="15" t="s">
        <v>768</v>
      </c>
      <c r="D17" s="15"/>
      <c r="E17" s="15"/>
      <c r="F17" s="26"/>
      <c r="G17" s="26"/>
      <c r="H17" s="26"/>
      <c r="I17" s="178"/>
      <c r="J17" s="179" t="e">
        <f t="shared" ref="J17:AM17" si="4">J18+J19+J20</f>
        <v>#REF!</v>
      </c>
      <c r="K17" s="179" t="e">
        <f t="shared" si="4"/>
        <v>#REF!</v>
      </c>
      <c r="L17" s="179" t="e">
        <f t="shared" si="4"/>
        <v>#REF!</v>
      </c>
      <c r="M17" s="179" t="e">
        <f t="shared" si="4"/>
        <v>#REF!</v>
      </c>
      <c r="N17" s="179" t="e">
        <f t="shared" si="4"/>
        <v>#REF!</v>
      </c>
      <c r="O17" s="179" t="e">
        <f t="shared" si="4"/>
        <v>#REF!</v>
      </c>
      <c r="P17" s="179" t="e">
        <f t="shared" si="4"/>
        <v>#REF!</v>
      </c>
      <c r="Q17" s="179" t="e">
        <f t="shared" si="4"/>
        <v>#REF!</v>
      </c>
      <c r="R17" s="179" t="e">
        <f t="shared" si="4"/>
        <v>#REF!</v>
      </c>
      <c r="S17" s="179" t="e">
        <f t="shared" si="4"/>
        <v>#REF!</v>
      </c>
      <c r="T17" s="179" t="e">
        <f t="shared" si="4"/>
        <v>#REF!</v>
      </c>
      <c r="U17" s="179" t="e">
        <f t="shared" si="4"/>
        <v>#REF!</v>
      </c>
      <c r="V17" s="179" t="e">
        <f t="shared" si="4"/>
        <v>#REF!</v>
      </c>
      <c r="W17" s="179" t="e">
        <f t="shared" si="4"/>
        <v>#REF!</v>
      </c>
      <c r="X17" s="179" t="e">
        <f t="shared" si="4"/>
        <v>#REF!</v>
      </c>
      <c r="Y17" s="179" t="e">
        <f t="shared" si="4"/>
        <v>#REF!</v>
      </c>
      <c r="Z17" s="179" t="e">
        <f t="shared" si="4"/>
        <v>#REF!</v>
      </c>
      <c r="AA17" s="179" t="e">
        <f t="shared" si="4"/>
        <v>#REF!</v>
      </c>
      <c r="AB17" s="179" t="e">
        <f t="shared" si="4"/>
        <v>#REF!</v>
      </c>
      <c r="AC17" s="179" t="e">
        <f t="shared" si="4"/>
        <v>#REF!</v>
      </c>
      <c r="AD17" s="186" t="e">
        <f t="shared" si="4"/>
        <v>#REF!</v>
      </c>
      <c r="AE17" s="186" t="e">
        <f t="shared" si="4"/>
        <v>#REF!</v>
      </c>
      <c r="AF17" s="186" t="e">
        <f t="shared" si="4"/>
        <v>#REF!</v>
      </c>
      <c r="AG17" s="186" t="e">
        <f t="shared" si="4"/>
        <v>#REF!</v>
      </c>
      <c r="AH17" s="186">
        <f t="shared" si="4"/>
        <v>93.84927801</v>
      </c>
      <c r="AI17" s="186">
        <f t="shared" si="4"/>
        <v>0</v>
      </c>
      <c r="AJ17" s="186">
        <f t="shared" si="4"/>
        <v>0</v>
      </c>
      <c r="AK17" s="186">
        <f t="shared" si="4"/>
        <v>0</v>
      </c>
      <c r="AL17" s="186">
        <f t="shared" si="4"/>
        <v>0</v>
      </c>
      <c r="AM17" s="186">
        <f t="shared" si="4"/>
        <v>0</v>
      </c>
    </row>
    <row r="18" ht="15" customHeight="true" spans="1:39">
      <c r="A18" s="161"/>
      <c r="B18" s="19" t="s">
        <v>769</v>
      </c>
      <c r="C18" s="15" t="s">
        <v>627</v>
      </c>
      <c r="D18" s="15"/>
      <c r="E18" s="15"/>
      <c r="F18" s="26"/>
      <c r="G18" s="26"/>
      <c r="H18" s="26"/>
      <c r="I18" s="178"/>
      <c r="J18" s="179">
        <f>流动资金!F11</f>
        <v>75.079422408</v>
      </c>
      <c r="K18" s="179">
        <f>流动资金!G11</f>
        <v>84.464350209</v>
      </c>
      <c r="L18" s="179">
        <f>流动资金!H11</f>
        <v>93.84927801</v>
      </c>
      <c r="M18" s="179">
        <f>流动资金!I11</f>
        <v>93.84927801</v>
      </c>
      <c r="N18" s="179">
        <f>流动资金!J11</f>
        <v>93.84927801</v>
      </c>
      <c r="O18" s="179">
        <f>流动资金!K11</f>
        <v>93.84927801</v>
      </c>
      <c r="P18" s="179">
        <f>流动资金!L11</f>
        <v>93.84927801</v>
      </c>
      <c r="Q18" s="179">
        <f>流动资金!M11</f>
        <v>93.84927801</v>
      </c>
      <c r="R18" s="179">
        <f>流动资金!N11</f>
        <v>93.84927801</v>
      </c>
      <c r="S18" s="179">
        <f>流动资金!O11</f>
        <v>93.84927801</v>
      </c>
      <c r="T18" s="179">
        <f>流动资金!P11</f>
        <v>93.84927801</v>
      </c>
      <c r="U18" s="179">
        <f>流动资金!Q11</f>
        <v>93.84927801</v>
      </c>
      <c r="V18" s="179">
        <f>流动资金!R11</f>
        <v>93.84927801</v>
      </c>
      <c r="W18" s="179">
        <f>流动资金!S11</f>
        <v>93.84927801</v>
      </c>
      <c r="X18" s="179">
        <f>流动资金!T11</f>
        <v>93.84927801</v>
      </c>
      <c r="Y18" s="179">
        <f>流动资金!U11</f>
        <v>93.84927801</v>
      </c>
      <c r="Z18" s="179">
        <f>流动资金!V11</f>
        <v>93.84927801</v>
      </c>
      <c r="AA18" s="179">
        <f>流动资金!W11</f>
        <v>93.84927801</v>
      </c>
      <c r="AB18" s="179">
        <f>流动资金!X11</f>
        <v>93.84927801</v>
      </c>
      <c r="AC18" s="178">
        <f>流动资金!Y11</f>
        <v>93.84927801</v>
      </c>
      <c r="AD18" s="26">
        <f>流动资金!Z11</f>
        <v>93.84927801</v>
      </c>
      <c r="AE18" s="26">
        <f>流动资金!AA11</f>
        <v>93.84927801</v>
      </c>
      <c r="AF18" s="26">
        <f>流动资金!AB11</f>
        <v>93.84927801</v>
      </c>
      <c r="AG18" s="26">
        <f>流动资金!AC11</f>
        <v>93.84927801</v>
      </c>
      <c r="AH18" s="26">
        <f>流动资金!AD11</f>
        <v>93.84927801</v>
      </c>
      <c r="AI18" s="26">
        <f>流动资金!AE11</f>
        <v>0</v>
      </c>
      <c r="AJ18" s="26">
        <f>流动资金!AF11</f>
        <v>0</v>
      </c>
      <c r="AK18" s="26">
        <f>流动资金!AG11</f>
        <v>0</v>
      </c>
      <c r="AL18" s="26">
        <f>流动资金!AH11</f>
        <v>0</v>
      </c>
      <c r="AM18" s="26">
        <f>流动资金!AI11</f>
        <v>0</v>
      </c>
    </row>
    <row r="19" ht="15" customHeight="true" spans="2:39">
      <c r="B19" s="19" t="s">
        <v>770</v>
      </c>
      <c r="C19" s="15" t="s">
        <v>746</v>
      </c>
      <c r="D19" s="15"/>
      <c r="E19" s="15"/>
      <c r="F19" s="26"/>
      <c r="G19" s="26"/>
      <c r="H19" s="26"/>
      <c r="I19" s="178"/>
      <c r="J19" s="179" t="e">
        <f>IF(J5&lt;zq,I19+资金来源运用!J11,0)</f>
        <v>#REF!</v>
      </c>
      <c r="K19" s="179" t="e">
        <f>IF(K5&lt;zq,J19+资金来源运用!K11,0)</f>
        <v>#REF!</v>
      </c>
      <c r="L19" s="179" t="e">
        <f>IF(L5&lt;zq,K19+资金来源运用!L11,0)</f>
        <v>#REF!</v>
      </c>
      <c r="M19" s="179" t="e">
        <f>IF(M5&lt;zq,L19+资金来源运用!M11,0)</f>
        <v>#REF!</v>
      </c>
      <c r="N19" s="179" t="e">
        <f>IF(N5&lt;zq,M19+资金来源运用!N11,0)</f>
        <v>#REF!</v>
      </c>
      <c r="O19" s="179" t="e">
        <f>IF(O5&lt;zq,N19+资金来源运用!O11,0)</f>
        <v>#REF!</v>
      </c>
      <c r="P19" s="179" t="e">
        <f>IF(P5&lt;zq,O19+资金来源运用!P11,0)</f>
        <v>#REF!</v>
      </c>
      <c r="Q19" s="179" t="e">
        <f>IF(Q5&lt;zq,P19+资金来源运用!Q11,0)</f>
        <v>#REF!</v>
      </c>
      <c r="R19" s="179" t="e">
        <f>IF(R5&lt;zq,Q19+资金来源运用!R11,0)</f>
        <v>#REF!</v>
      </c>
      <c r="S19" s="179" t="e">
        <f>IF(S5&lt;zq,R19+资金来源运用!S11,0)</f>
        <v>#REF!</v>
      </c>
      <c r="T19" s="179" t="e">
        <f>IF(T5&lt;zq,S19+资金来源运用!T11,0)</f>
        <v>#REF!</v>
      </c>
      <c r="U19" s="179" t="e">
        <f>IF(U5&lt;zq,T19+资金来源运用!U11,0)</f>
        <v>#REF!</v>
      </c>
      <c r="V19" s="179" t="e">
        <f>IF(V5&lt;zq,U19+资金来源运用!V11,0)</f>
        <v>#REF!</v>
      </c>
      <c r="W19" s="179" t="e">
        <f>IF(W5&lt;zq,V19+资金来源运用!W11,0)</f>
        <v>#REF!</v>
      </c>
      <c r="X19" s="179" t="e">
        <f>IF(X5&lt;zq,W19+资金来源运用!X11,0)</f>
        <v>#REF!</v>
      </c>
      <c r="Y19" s="179" t="e">
        <f>IF(Y5&lt;zq,X19+资金来源运用!Y11,0)</f>
        <v>#REF!</v>
      </c>
      <c r="Z19" s="179" t="e">
        <f>IF(Z5&lt;zq,Y19+资金来源运用!Z11,0)</f>
        <v>#REF!</v>
      </c>
      <c r="AA19" s="179" t="e">
        <f>IF(AA5&lt;zq,Z19+资金来源运用!AA11,0)</f>
        <v>#REF!</v>
      </c>
      <c r="AB19" s="179" t="e">
        <f>IF(AB5&lt;zq,AA19+资金来源运用!AB11,0)</f>
        <v>#REF!</v>
      </c>
      <c r="AC19" s="178" t="e">
        <f>IF(AC5&lt;zq,AB19+资金来源运用!AC11,0)</f>
        <v>#REF!</v>
      </c>
      <c r="AD19" s="26" t="e">
        <f>IF(AD5&lt;zq,AC19+资金来源运用!AD11,0)</f>
        <v>#REF!</v>
      </c>
      <c r="AE19" s="26" t="e">
        <f>IF(AE5&lt;zq,AD19+资金来源运用!AE11,0)</f>
        <v>#REF!</v>
      </c>
      <c r="AF19" s="26" t="e">
        <f>IF(AF5&lt;zq,AE19+资金来源运用!AF11,0)</f>
        <v>#REF!</v>
      </c>
      <c r="AG19" s="26" t="e">
        <f>IF(AG5&lt;zq,AF19+资金来源运用!AG11,0)</f>
        <v>#REF!</v>
      </c>
      <c r="AH19" s="26">
        <f>IF(AH5&lt;zq,AG19+资金来源运用!AH11,0)</f>
        <v>0</v>
      </c>
      <c r="AI19" s="26">
        <f>IF(AI5&lt;zq,AH19+资金来源运用!AI11,0)</f>
        <v>0</v>
      </c>
      <c r="AJ19" s="26">
        <f>IF(AJ5&lt;zq,AI19+资金来源运用!AJ11,0)</f>
        <v>0</v>
      </c>
      <c r="AK19" s="26">
        <f>IF(AK5&lt;zq,AJ19+资金来源运用!AK11,0)</f>
        <v>0</v>
      </c>
      <c r="AL19" s="26">
        <f>IF(AL5&lt;zq,AK19+资金来源运用!AL11,0)</f>
        <v>0</v>
      </c>
      <c r="AM19" s="26">
        <f>IF(AM5&lt;zq,AL19+资金来源运用!AM11,0)</f>
        <v>0</v>
      </c>
    </row>
    <row r="20" ht="15" customHeight="true" spans="2:39">
      <c r="B20" s="19" t="s">
        <v>771</v>
      </c>
      <c r="C20" s="15" t="s">
        <v>772</v>
      </c>
      <c r="D20" s="15"/>
      <c r="E20" s="15"/>
      <c r="F20" s="26"/>
      <c r="G20" s="26"/>
      <c r="H20" s="26"/>
      <c r="I20" s="178"/>
      <c r="J20" s="178">
        <f>资金来源运用!J12</f>
        <v>0</v>
      </c>
      <c r="K20" s="178">
        <f>资金来源运用!K12</f>
        <v>0</v>
      </c>
      <c r="L20" s="178">
        <f>资金来源运用!L12</f>
        <v>0</v>
      </c>
      <c r="M20" s="178">
        <f>资金来源运用!M12</f>
        <v>0</v>
      </c>
      <c r="N20" s="178">
        <f>资金来源运用!N12</f>
        <v>0</v>
      </c>
      <c r="O20" s="178">
        <f>资金来源运用!O12</f>
        <v>0</v>
      </c>
      <c r="P20" s="178">
        <f>资金来源运用!P12</f>
        <v>0</v>
      </c>
      <c r="Q20" s="178">
        <f>资金来源运用!Q12</f>
        <v>0</v>
      </c>
      <c r="R20" s="178">
        <f>资金来源运用!R12</f>
        <v>0</v>
      </c>
      <c r="S20" s="178">
        <f>资金来源运用!S12</f>
        <v>0</v>
      </c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ht="15" customHeight="true" spans="2:39">
      <c r="B21" s="19">
        <v>2.2</v>
      </c>
      <c r="C21" s="15" t="s">
        <v>773</v>
      </c>
      <c r="D21" s="17">
        <f>资金来源运用!D10</f>
        <v>0</v>
      </c>
      <c r="E21" s="17">
        <f>资金来源运用!D10+资金来源运用!E10</f>
        <v>0</v>
      </c>
      <c r="F21" s="26">
        <f>资金来源运用!D10+资金来源运用!E10+资金来源运用!F10</f>
        <v>0</v>
      </c>
      <c r="G21" s="26" t="e">
        <f>借款偿还!I6</f>
        <v>#REF!</v>
      </c>
      <c r="H21" s="26" t="e">
        <f>借款偿还!J6</f>
        <v>#REF!</v>
      </c>
      <c r="I21" s="178" t="e">
        <f>借款偿还!K6</f>
        <v>#REF!</v>
      </c>
      <c r="J21" s="178" t="e">
        <f>借款偿还!L6</f>
        <v>#REF!</v>
      </c>
      <c r="K21" s="178" t="e">
        <f>借款偿还!M6</f>
        <v>#REF!</v>
      </c>
      <c r="L21" s="178" t="e">
        <f>借款偿还!N6</f>
        <v>#REF!</v>
      </c>
      <c r="M21" s="178" t="e">
        <f>借款偿还!O6</f>
        <v>#REF!</v>
      </c>
      <c r="N21" s="178" t="e">
        <f>借款偿还!P6</f>
        <v>#REF!</v>
      </c>
      <c r="O21" s="178" t="e">
        <f>借款偿还!Q6</f>
        <v>#REF!</v>
      </c>
      <c r="P21" s="178" t="e">
        <f>借款偿还!R6</f>
        <v>#REF!</v>
      </c>
      <c r="Q21" s="178" t="e">
        <f>借款偿还!S6</f>
        <v>#REF!</v>
      </c>
      <c r="R21" s="178" t="e">
        <f>借款偿还!T6</f>
        <v>#REF!</v>
      </c>
      <c r="S21" s="178" t="e">
        <f>借款偿还!U6</f>
        <v>#REF!</v>
      </c>
      <c r="T21" s="178" t="e">
        <f>借款偿还!V6</f>
        <v>#REF!</v>
      </c>
      <c r="U21" s="178" t="e">
        <f>借款偿还!W6</f>
        <v>#REF!</v>
      </c>
      <c r="V21" s="178" t="e">
        <f>借款偿还!X6</f>
        <v>#REF!</v>
      </c>
      <c r="W21" s="178" t="e">
        <f>借款偿还!Y6</f>
        <v>#REF!</v>
      </c>
      <c r="X21" s="178" t="e">
        <f>借款偿还!Z6</f>
        <v>#REF!</v>
      </c>
      <c r="Y21" s="178" t="e">
        <f>借款偿还!AA6</f>
        <v>#REF!</v>
      </c>
      <c r="Z21" s="178" t="e">
        <f>借款偿还!AB6</f>
        <v>#REF!</v>
      </c>
      <c r="AA21" s="178" t="e">
        <f>借款偿还!AC6</f>
        <v>#REF!</v>
      </c>
      <c r="AB21" s="178" t="e">
        <f>借款偿还!AD6</f>
        <v>#REF!</v>
      </c>
      <c r="AC21" s="178" t="e">
        <f>借款偿还!AE6</f>
        <v>#REF!</v>
      </c>
      <c r="AD21" s="178" t="e">
        <f>借款偿还!AF6</f>
        <v>#REF!</v>
      </c>
      <c r="AE21" s="178" t="e">
        <f>借款偿还!AG6</f>
        <v>#REF!</v>
      </c>
      <c r="AF21" s="178" t="e">
        <f>借款偿还!AH6</f>
        <v>#REF!</v>
      </c>
      <c r="AG21" s="178" t="e">
        <f>借款偿还!AI6</f>
        <v>#REF!</v>
      </c>
      <c r="AH21" s="178" t="e">
        <f>借款偿还!AJ6</f>
        <v>#REF!</v>
      </c>
      <c r="AI21" s="26"/>
      <c r="AJ21" s="26"/>
      <c r="AK21" s="26"/>
      <c r="AL21" s="26"/>
      <c r="AM21" s="26"/>
    </row>
    <row r="22" ht="15" customHeight="true" spans="2:39">
      <c r="B22" s="19"/>
      <c r="C22" s="19" t="s">
        <v>774</v>
      </c>
      <c r="D22" s="17">
        <f t="shared" ref="D22:AM22" si="5">D17+D21</f>
        <v>0</v>
      </c>
      <c r="E22" s="17">
        <f t="shared" si="5"/>
        <v>0</v>
      </c>
      <c r="F22" s="26">
        <f t="shared" si="5"/>
        <v>0</v>
      </c>
      <c r="G22" s="26" t="e">
        <f t="shared" si="5"/>
        <v>#REF!</v>
      </c>
      <c r="H22" s="26" t="e">
        <f t="shared" si="5"/>
        <v>#REF!</v>
      </c>
      <c r="I22" s="178" t="e">
        <f t="shared" si="5"/>
        <v>#REF!</v>
      </c>
      <c r="J22" s="178" t="e">
        <f t="shared" si="5"/>
        <v>#REF!</v>
      </c>
      <c r="K22" s="178" t="e">
        <f t="shared" si="5"/>
        <v>#REF!</v>
      </c>
      <c r="L22" s="178" t="e">
        <f t="shared" si="5"/>
        <v>#REF!</v>
      </c>
      <c r="M22" s="178" t="e">
        <f t="shared" si="5"/>
        <v>#REF!</v>
      </c>
      <c r="N22" s="178" t="e">
        <f t="shared" si="5"/>
        <v>#REF!</v>
      </c>
      <c r="O22" s="178" t="e">
        <f t="shared" si="5"/>
        <v>#REF!</v>
      </c>
      <c r="P22" s="178" t="e">
        <f t="shared" si="5"/>
        <v>#REF!</v>
      </c>
      <c r="Q22" s="178" t="e">
        <f t="shared" si="5"/>
        <v>#REF!</v>
      </c>
      <c r="R22" s="178" t="e">
        <f t="shared" si="5"/>
        <v>#REF!</v>
      </c>
      <c r="S22" s="178" t="e">
        <f t="shared" si="5"/>
        <v>#REF!</v>
      </c>
      <c r="T22" s="178" t="e">
        <f t="shared" si="5"/>
        <v>#REF!</v>
      </c>
      <c r="U22" s="178" t="e">
        <f t="shared" si="5"/>
        <v>#REF!</v>
      </c>
      <c r="V22" s="178" t="e">
        <f t="shared" si="5"/>
        <v>#REF!</v>
      </c>
      <c r="W22" s="178" t="e">
        <f t="shared" si="5"/>
        <v>#REF!</v>
      </c>
      <c r="X22" s="178" t="e">
        <f t="shared" si="5"/>
        <v>#REF!</v>
      </c>
      <c r="Y22" s="178" t="e">
        <f t="shared" si="5"/>
        <v>#REF!</v>
      </c>
      <c r="Z22" s="178" t="e">
        <f t="shared" si="5"/>
        <v>#REF!</v>
      </c>
      <c r="AA22" s="178" t="e">
        <f t="shared" si="5"/>
        <v>#REF!</v>
      </c>
      <c r="AB22" s="178" t="e">
        <f t="shared" si="5"/>
        <v>#REF!</v>
      </c>
      <c r="AC22" s="178" t="e">
        <f t="shared" si="5"/>
        <v>#REF!</v>
      </c>
      <c r="AD22" s="26" t="e">
        <f t="shared" si="5"/>
        <v>#REF!</v>
      </c>
      <c r="AE22" s="26" t="e">
        <f t="shared" si="5"/>
        <v>#REF!</v>
      </c>
      <c r="AF22" s="26" t="e">
        <f t="shared" si="5"/>
        <v>#REF!</v>
      </c>
      <c r="AG22" s="26" t="e">
        <f t="shared" si="5"/>
        <v>#REF!</v>
      </c>
      <c r="AH22" s="26" t="e">
        <f t="shared" si="5"/>
        <v>#REF!</v>
      </c>
      <c r="AI22" s="26">
        <f t="shared" si="5"/>
        <v>0</v>
      </c>
      <c r="AJ22" s="26">
        <f t="shared" si="5"/>
        <v>0</v>
      </c>
      <c r="AK22" s="26">
        <f t="shared" si="5"/>
        <v>0</v>
      </c>
      <c r="AL22" s="26">
        <f t="shared" si="5"/>
        <v>0</v>
      </c>
      <c r="AM22" s="26">
        <f t="shared" si="5"/>
        <v>0</v>
      </c>
    </row>
    <row r="23" ht="15" customHeight="true" spans="2:39">
      <c r="B23" s="19">
        <v>2.3</v>
      </c>
      <c r="C23" s="15" t="s">
        <v>775</v>
      </c>
      <c r="D23" s="17">
        <f t="shared" ref="D23:AM23" si="6">D24+D26+D27</f>
        <v>0</v>
      </c>
      <c r="E23" s="17">
        <f t="shared" si="6"/>
        <v>0</v>
      </c>
      <c r="F23" s="26">
        <f t="shared" si="6"/>
        <v>0</v>
      </c>
      <c r="G23" s="26" t="e">
        <f t="shared" si="6"/>
        <v>#REF!</v>
      </c>
      <c r="H23" s="26" t="e">
        <f t="shared" si="6"/>
        <v>#REF!</v>
      </c>
      <c r="I23" s="178" t="e">
        <f t="shared" si="6"/>
        <v>#REF!</v>
      </c>
      <c r="J23" s="178" t="e">
        <f t="shared" si="6"/>
        <v>#REF!</v>
      </c>
      <c r="K23" s="178" t="e">
        <f t="shared" si="6"/>
        <v>#REF!</v>
      </c>
      <c r="L23" s="178" t="e">
        <f t="shared" si="6"/>
        <v>#REF!</v>
      </c>
      <c r="M23" s="178" t="e">
        <f t="shared" si="6"/>
        <v>#REF!</v>
      </c>
      <c r="N23" s="178" t="e">
        <f t="shared" si="6"/>
        <v>#REF!</v>
      </c>
      <c r="O23" s="178" t="e">
        <f t="shared" si="6"/>
        <v>#REF!</v>
      </c>
      <c r="P23" s="178" t="e">
        <f t="shared" si="6"/>
        <v>#REF!</v>
      </c>
      <c r="Q23" s="178" t="e">
        <f t="shared" si="6"/>
        <v>#REF!</v>
      </c>
      <c r="R23" s="178" t="e">
        <f t="shared" si="6"/>
        <v>#REF!</v>
      </c>
      <c r="S23" s="178" t="e">
        <f t="shared" si="6"/>
        <v>#REF!</v>
      </c>
      <c r="T23" s="178" t="e">
        <f t="shared" si="6"/>
        <v>#REF!</v>
      </c>
      <c r="U23" s="178" t="e">
        <f t="shared" si="6"/>
        <v>#REF!</v>
      </c>
      <c r="V23" s="178" t="e">
        <f t="shared" si="6"/>
        <v>#REF!</v>
      </c>
      <c r="W23" s="178" t="e">
        <f t="shared" si="6"/>
        <v>#REF!</v>
      </c>
      <c r="X23" s="178" t="e">
        <f t="shared" si="6"/>
        <v>#REF!</v>
      </c>
      <c r="Y23" s="178" t="e">
        <f t="shared" si="6"/>
        <v>#REF!</v>
      </c>
      <c r="Z23" s="178" t="e">
        <f t="shared" si="6"/>
        <v>#REF!</v>
      </c>
      <c r="AA23" s="178" t="e">
        <f t="shared" si="6"/>
        <v>#REF!</v>
      </c>
      <c r="AB23" s="178" t="e">
        <f t="shared" si="6"/>
        <v>#REF!</v>
      </c>
      <c r="AC23" s="178" t="e">
        <f t="shared" si="6"/>
        <v>#REF!</v>
      </c>
      <c r="AD23" s="26" t="e">
        <f t="shared" si="6"/>
        <v>#REF!</v>
      </c>
      <c r="AE23" s="26" t="e">
        <f t="shared" si="6"/>
        <v>#REF!</v>
      </c>
      <c r="AF23" s="26" t="e">
        <f t="shared" si="6"/>
        <v>#REF!</v>
      </c>
      <c r="AG23" s="26" t="e">
        <f t="shared" si="6"/>
        <v>#REF!</v>
      </c>
      <c r="AH23" s="26" t="e">
        <f t="shared" si="6"/>
        <v>#REF!</v>
      </c>
      <c r="AI23" s="26">
        <f t="shared" si="6"/>
        <v>0</v>
      </c>
      <c r="AJ23" s="26">
        <f t="shared" si="6"/>
        <v>0</v>
      </c>
      <c r="AK23" s="26">
        <f t="shared" si="6"/>
        <v>0</v>
      </c>
      <c r="AL23" s="26">
        <f t="shared" si="6"/>
        <v>0</v>
      </c>
      <c r="AM23" s="26">
        <f t="shared" si="6"/>
        <v>0</v>
      </c>
    </row>
    <row r="24" ht="15" customHeight="true" spans="2:39">
      <c r="B24" s="19" t="s">
        <v>776</v>
      </c>
      <c r="C24" s="15" t="s">
        <v>777</v>
      </c>
      <c r="D24" s="17">
        <f>资金来源运用!D14</f>
        <v>0</v>
      </c>
      <c r="E24" s="17">
        <f>资金来源运用!D14+资金来源运用!E14</f>
        <v>0</v>
      </c>
      <c r="F24" s="26">
        <f>资金来源运用!D14+资金来源运用!E14+资金来源运用!F14</f>
        <v>0</v>
      </c>
      <c r="G24" s="26" t="e">
        <f>SUM(资金来源运用!D14:G14)</f>
        <v>#REF!</v>
      </c>
      <c r="H24" s="26" t="e">
        <f>SUM(资金来源运用!D14:H14)</f>
        <v>#REF!</v>
      </c>
      <c r="I24" s="178" t="e">
        <f>SUM(资金来源运用!D14:I14)</f>
        <v>#REF!</v>
      </c>
      <c r="J24" s="178" t="e">
        <f>IF(J5&gt;zq,0,I24+资金来源运用!J14)</f>
        <v>#REF!</v>
      </c>
      <c r="K24" s="178" t="e">
        <f>IF(K5&gt;zq,0,J24+资金来源运用!K14)</f>
        <v>#REF!</v>
      </c>
      <c r="L24" s="178" t="e">
        <f>IF(L5&gt;zq,0,K24+资金来源运用!L14)</f>
        <v>#REF!</v>
      </c>
      <c r="M24" s="178" t="e">
        <f>IF(M5&gt;zq,0,L24+资金来源运用!M14)</f>
        <v>#REF!</v>
      </c>
      <c r="N24" s="178" t="e">
        <f>IF(N5&gt;zq,0,M24+资金来源运用!N14)</f>
        <v>#REF!</v>
      </c>
      <c r="O24" s="178" t="e">
        <f>IF(O5&gt;zq,0,N24+资金来源运用!O14)</f>
        <v>#REF!</v>
      </c>
      <c r="P24" s="178" t="e">
        <f>IF(P5&gt;zq,0,O24+资金来源运用!P14)</f>
        <v>#REF!</v>
      </c>
      <c r="Q24" s="178" t="e">
        <f>IF(Q5&gt;zq,0,P24+资金来源运用!Q14)</f>
        <v>#REF!</v>
      </c>
      <c r="R24" s="178" t="e">
        <f>IF(R5&gt;zq,0,Q24+资金来源运用!R14)</f>
        <v>#REF!</v>
      </c>
      <c r="S24" s="178" t="e">
        <f>IF(S5&gt;zq,0,R24+资金来源运用!S14)</f>
        <v>#REF!</v>
      </c>
      <c r="T24" s="178" t="e">
        <f>IF(T5&gt;zq,0,S24+资金来源运用!T14)</f>
        <v>#REF!</v>
      </c>
      <c r="U24" s="178" t="e">
        <f>IF(U5&gt;zq,0,T24+资金来源运用!U14)</f>
        <v>#REF!</v>
      </c>
      <c r="V24" s="178" t="e">
        <f>IF(V5&gt;zq,0,U24+资金来源运用!V14)</f>
        <v>#REF!</v>
      </c>
      <c r="W24" s="178" t="e">
        <f>IF(W5&gt;zq,0,V24+资金来源运用!W14)</f>
        <v>#REF!</v>
      </c>
      <c r="X24" s="178" t="e">
        <f>IF(X5&gt;zq,0,W24+资金来源运用!X14)</f>
        <v>#REF!</v>
      </c>
      <c r="Y24" s="178" t="e">
        <f>IF(Y5&gt;zq,0,X24+资金来源运用!Y14)</f>
        <v>#REF!</v>
      </c>
      <c r="Z24" s="178" t="e">
        <f>IF(Z5&gt;zq,0,Y24+资金来源运用!Z14)</f>
        <v>#REF!</v>
      </c>
      <c r="AA24" s="178" t="e">
        <f>IF(AA5&gt;zq,0,Z24+资金来源运用!AA14)</f>
        <v>#REF!</v>
      </c>
      <c r="AB24" s="178" t="e">
        <f>IF(AB5&gt;zq,0,AA24+资金来源运用!AB14)</f>
        <v>#REF!</v>
      </c>
      <c r="AC24" s="178" t="e">
        <f>IF(AC5&gt;zq,0,AB24+资金来源运用!AC14)</f>
        <v>#REF!</v>
      </c>
      <c r="AD24" s="26" t="e">
        <f>IF(AD5&gt;zq,0,AC24+资金来源运用!AD14)</f>
        <v>#REF!</v>
      </c>
      <c r="AE24" s="26" t="e">
        <f>IF(AE5&gt;zq,0,AD24+资金来源运用!AE14)</f>
        <v>#REF!</v>
      </c>
      <c r="AF24" s="26" t="e">
        <f>IF(AF5&gt;zq,0,AE24+资金来源运用!AF14)</f>
        <v>#REF!</v>
      </c>
      <c r="AG24" s="26" t="e">
        <f>IF(AG5&gt;zq,0,AF24+资金来源运用!AG14)</f>
        <v>#REF!</v>
      </c>
      <c r="AH24" s="26" t="e">
        <f>IF(AH5&gt;zq,0,AG24+资金来源运用!AH14)</f>
        <v>#REF!</v>
      </c>
      <c r="AI24" s="26">
        <f>IF(AI5&gt;zq,0,AH24+资金来源运用!AI14)</f>
        <v>0</v>
      </c>
      <c r="AJ24" s="26">
        <f>IF(AJ5&gt;zq,0,AI24+资金来源运用!AJ14)</f>
        <v>0</v>
      </c>
      <c r="AK24" s="26">
        <f>IF(AK5&gt;zq,0,AJ24+资金来源运用!AK14)</f>
        <v>0</v>
      </c>
      <c r="AL24" s="26">
        <f>IF(AL5&gt;zq,0,AK24+资金来源运用!AL14)</f>
        <v>0</v>
      </c>
      <c r="AM24" s="26">
        <f>IF(AM5&gt;zq,0,AL24+资金来源运用!AM14)</f>
        <v>0</v>
      </c>
    </row>
    <row r="25" ht="15" hidden="true" customHeight="true" spans="2:39">
      <c r="B25" s="19" t="s">
        <v>778</v>
      </c>
      <c r="C25" s="15" t="s">
        <v>779</v>
      </c>
      <c r="D25" s="17"/>
      <c r="E25" s="17"/>
      <c r="F25" s="26"/>
      <c r="G25" s="26"/>
      <c r="H25" s="26"/>
      <c r="I25" s="178"/>
      <c r="J25" s="178" t="e">
        <f>损益表!D15</f>
        <v>#REF!</v>
      </c>
      <c r="K25" s="178" t="e">
        <f>损益表!E15</f>
        <v>#REF!</v>
      </c>
      <c r="L25" s="178" t="e">
        <f>损益表!F15</f>
        <v>#REF!</v>
      </c>
      <c r="M25" s="178" t="e">
        <f>损益表!G15</f>
        <v>#REF!</v>
      </c>
      <c r="N25" s="178" t="e">
        <f>损益表!H15</f>
        <v>#REF!</v>
      </c>
      <c r="O25" s="178" t="e">
        <f>损益表!I15</f>
        <v>#REF!</v>
      </c>
      <c r="P25" s="178" t="e">
        <f>损益表!J15</f>
        <v>#REF!</v>
      </c>
      <c r="Q25" s="178" t="e">
        <f>损益表!K15</f>
        <v>#REF!</v>
      </c>
      <c r="R25" s="178" t="e">
        <f>损益表!L15</f>
        <v>#REF!</v>
      </c>
      <c r="S25" s="178" t="e">
        <f>损益表!M15</f>
        <v>#REF!</v>
      </c>
      <c r="T25" s="178" t="e">
        <f>损益表!N15</f>
        <v>#REF!</v>
      </c>
      <c r="U25" s="178" t="e">
        <f>损益表!O15</f>
        <v>#REF!</v>
      </c>
      <c r="V25" s="178" t="e">
        <f>损益表!P15</f>
        <v>#REF!</v>
      </c>
      <c r="W25" s="178" t="e">
        <f>损益表!Q15</f>
        <v>#REF!</v>
      </c>
      <c r="X25" s="178" t="e">
        <f>损益表!R15</f>
        <v>#REF!</v>
      </c>
      <c r="Y25" s="178" t="e">
        <f>损益表!S15</f>
        <v>#REF!</v>
      </c>
      <c r="Z25" s="178" t="e">
        <f>损益表!T15</f>
        <v>#REF!</v>
      </c>
      <c r="AA25" s="178" t="e">
        <f>损益表!U15</f>
        <v>#REF!</v>
      </c>
      <c r="AB25" s="178" t="e">
        <f>损益表!V15</f>
        <v>#REF!</v>
      </c>
      <c r="AC25" s="178" t="e">
        <f>损益表!W15</f>
        <v>#REF!</v>
      </c>
      <c r="AD25" s="26" t="e">
        <f>损益表!X15*1.5</f>
        <v>#REF!</v>
      </c>
      <c r="AE25" s="26" t="e">
        <f>损益表!Y15*1.5</f>
        <v>#REF!</v>
      </c>
      <c r="AF25" s="26" t="e">
        <f>损益表!Z15*1.5</f>
        <v>#REF!</v>
      </c>
      <c r="AG25" s="26" t="e">
        <f>损益表!AA15*1.5</f>
        <v>#REF!</v>
      </c>
      <c r="AH25" s="26" t="e">
        <f>损益表!AB15*1.5</f>
        <v>#REF!</v>
      </c>
      <c r="AI25" s="26" t="e">
        <f>损益表!AC15*1.5</f>
        <v>#REF!</v>
      </c>
      <c r="AJ25" s="26" t="e">
        <f>损益表!AD15*1.5</f>
        <v>#REF!</v>
      </c>
      <c r="AK25" s="26" t="e">
        <f>损益表!AE15*1.5</f>
        <v>#REF!</v>
      </c>
      <c r="AL25" s="26" t="e">
        <f>损益表!AF15*1.5</f>
        <v>#REF!</v>
      </c>
      <c r="AM25" s="26" t="e">
        <f>损益表!AG15*1.5</f>
        <v>#REF!</v>
      </c>
    </row>
    <row r="26" ht="15" customHeight="true" spans="2:39">
      <c r="B26" s="19" t="s">
        <v>778</v>
      </c>
      <c r="C26" s="15" t="s">
        <v>780</v>
      </c>
      <c r="D26" s="17"/>
      <c r="E26" s="17"/>
      <c r="F26" s="26"/>
      <c r="G26" s="26"/>
      <c r="H26" s="26"/>
      <c r="I26" s="178"/>
      <c r="J26" s="178" t="e">
        <f>J25</f>
        <v>#REF!</v>
      </c>
      <c r="K26" s="178" t="e">
        <f t="shared" ref="K26:AM26" si="7">IF(K5&gt;zq,0,J26+K25)</f>
        <v>#REF!</v>
      </c>
      <c r="L26" s="178" t="e">
        <f t="shared" si="7"/>
        <v>#REF!</v>
      </c>
      <c r="M26" s="178" t="e">
        <f t="shared" si="7"/>
        <v>#REF!</v>
      </c>
      <c r="N26" s="178" t="e">
        <f t="shared" si="7"/>
        <v>#REF!</v>
      </c>
      <c r="O26" s="178" t="e">
        <f t="shared" si="7"/>
        <v>#REF!</v>
      </c>
      <c r="P26" s="178" t="e">
        <f t="shared" si="7"/>
        <v>#REF!</v>
      </c>
      <c r="Q26" s="178" t="e">
        <f t="shared" si="7"/>
        <v>#REF!</v>
      </c>
      <c r="R26" s="178" t="e">
        <f t="shared" si="7"/>
        <v>#REF!</v>
      </c>
      <c r="S26" s="178" t="e">
        <f t="shared" si="7"/>
        <v>#REF!</v>
      </c>
      <c r="T26" s="178" t="e">
        <f t="shared" si="7"/>
        <v>#REF!</v>
      </c>
      <c r="U26" s="178" t="e">
        <f t="shared" si="7"/>
        <v>#REF!</v>
      </c>
      <c r="V26" s="178" t="e">
        <f t="shared" si="7"/>
        <v>#REF!</v>
      </c>
      <c r="W26" s="178" t="e">
        <f t="shared" si="7"/>
        <v>#REF!</v>
      </c>
      <c r="X26" s="178" t="e">
        <f t="shared" si="7"/>
        <v>#REF!</v>
      </c>
      <c r="Y26" s="178" t="e">
        <f t="shared" si="7"/>
        <v>#REF!</v>
      </c>
      <c r="Z26" s="178" t="e">
        <f t="shared" si="7"/>
        <v>#REF!</v>
      </c>
      <c r="AA26" s="178" t="e">
        <f t="shared" si="7"/>
        <v>#REF!</v>
      </c>
      <c r="AB26" s="178" t="e">
        <f t="shared" si="7"/>
        <v>#REF!</v>
      </c>
      <c r="AC26" s="178" t="e">
        <f t="shared" si="7"/>
        <v>#REF!</v>
      </c>
      <c r="AD26" s="26" t="e">
        <f t="shared" si="7"/>
        <v>#REF!</v>
      </c>
      <c r="AE26" s="26" t="e">
        <f t="shared" si="7"/>
        <v>#REF!</v>
      </c>
      <c r="AF26" s="26" t="e">
        <f t="shared" si="7"/>
        <v>#REF!</v>
      </c>
      <c r="AG26" s="26" t="e">
        <f t="shared" si="7"/>
        <v>#REF!</v>
      </c>
      <c r="AH26" s="26" t="e">
        <f t="shared" si="7"/>
        <v>#REF!</v>
      </c>
      <c r="AI26" s="26">
        <f t="shared" si="7"/>
        <v>0</v>
      </c>
      <c r="AJ26" s="26">
        <f t="shared" si="7"/>
        <v>0</v>
      </c>
      <c r="AK26" s="26">
        <f t="shared" si="7"/>
        <v>0</v>
      </c>
      <c r="AL26" s="26">
        <f t="shared" si="7"/>
        <v>0</v>
      </c>
      <c r="AM26" s="26">
        <f t="shared" si="7"/>
        <v>0</v>
      </c>
    </row>
    <row r="27" ht="15" customHeight="true" spans="2:39">
      <c r="B27" s="19" t="s">
        <v>781</v>
      </c>
      <c r="C27" s="15" t="s">
        <v>782</v>
      </c>
      <c r="D27" s="17"/>
      <c r="E27" s="17"/>
      <c r="F27" s="26"/>
      <c r="G27" s="26"/>
      <c r="H27" s="26"/>
      <c r="I27" s="178"/>
      <c r="J27" s="178" t="e">
        <f>损益表!D19</f>
        <v>#REF!</v>
      </c>
      <c r="K27" s="178" t="e">
        <f>损益表!E19</f>
        <v>#REF!</v>
      </c>
      <c r="L27" s="178" t="e">
        <f>损益表!F19</f>
        <v>#REF!</v>
      </c>
      <c r="M27" s="178" t="e">
        <f>损益表!G19</f>
        <v>#REF!</v>
      </c>
      <c r="N27" s="178" t="e">
        <f>损益表!H19</f>
        <v>#REF!</v>
      </c>
      <c r="O27" s="178" t="e">
        <f>损益表!I19</f>
        <v>#REF!</v>
      </c>
      <c r="P27" s="178" t="e">
        <f>损益表!J19</f>
        <v>#REF!</v>
      </c>
      <c r="Q27" s="178" t="e">
        <f>损益表!K19</f>
        <v>#REF!</v>
      </c>
      <c r="R27" s="178" t="e">
        <f>损益表!L19</f>
        <v>#REF!</v>
      </c>
      <c r="S27" s="178" t="e">
        <f>损益表!M19</f>
        <v>#REF!</v>
      </c>
      <c r="T27" s="178" t="e">
        <f>损益表!N19</f>
        <v>#REF!</v>
      </c>
      <c r="U27" s="178" t="e">
        <f>损益表!O19</f>
        <v>#REF!</v>
      </c>
      <c r="V27" s="178" t="e">
        <f>损益表!P19</f>
        <v>#REF!</v>
      </c>
      <c r="W27" s="178" t="e">
        <f>损益表!Q19</f>
        <v>#REF!</v>
      </c>
      <c r="X27" s="178" t="e">
        <f>损益表!R19</f>
        <v>#REF!</v>
      </c>
      <c r="Y27" s="178" t="e">
        <f>损益表!S19</f>
        <v>#REF!</v>
      </c>
      <c r="Z27" s="178" t="e">
        <f>损益表!T19</f>
        <v>#REF!</v>
      </c>
      <c r="AA27" s="178" t="e">
        <f>损益表!U19</f>
        <v>#REF!</v>
      </c>
      <c r="AB27" s="178" t="e">
        <f>损益表!V19</f>
        <v>#REF!</v>
      </c>
      <c r="AC27" s="178" t="e">
        <f>损益表!W19</f>
        <v>#REF!</v>
      </c>
      <c r="AD27" s="26" t="e">
        <f>损益表!X19</f>
        <v>#REF!</v>
      </c>
      <c r="AE27" s="26" t="e">
        <f>损益表!Y19</f>
        <v>#REF!</v>
      </c>
      <c r="AF27" s="26" t="e">
        <f>损益表!Z19</f>
        <v>#REF!</v>
      </c>
      <c r="AG27" s="26" t="e">
        <f>损益表!AA19</f>
        <v>#REF!</v>
      </c>
      <c r="AH27" s="26" t="e">
        <f>损益表!AB19</f>
        <v>#REF!</v>
      </c>
      <c r="AI27" s="26">
        <f>损益表!AC19</f>
        <v>0</v>
      </c>
      <c r="AJ27" s="26">
        <f>损益表!AD19</f>
        <v>0</v>
      </c>
      <c r="AK27" s="26">
        <f>损益表!AE19</f>
        <v>0</v>
      </c>
      <c r="AL27" s="26">
        <f>损益表!AF19</f>
        <v>0</v>
      </c>
      <c r="AM27" s="26">
        <f>损益表!AG19</f>
        <v>0</v>
      </c>
    </row>
    <row r="28" ht="15" customHeight="true" spans="2:40">
      <c r="B28" s="19"/>
      <c r="C28" s="162" t="s">
        <v>783</v>
      </c>
      <c r="D28" s="17">
        <f t="shared" ref="D28:AM28" si="8">D22+D23</f>
        <v>0</v>
      </c>
      <c r="E28" s="17">
        <f t="shared" si="8"/>
        <v>0</v>
      </c>
      <c r="F28" s="26">
        <f t="shared" si="8"/>
        <v>0</v>
      </c>
      <c r="G28" s="26" t="e">
        <f t="shared" si="8"/>
        <v>#REF!</v>
      </c>
      <c r="H28" s="26" t="e">
        <f t="shared" si="8"/>
        <v>#REF!</v>
      </c>
      <c r="I28" s="178" t="e">
        <f t="shared" si="8"/>
        <v>#REF!</v>
      </c>
      <c r="J28" s="178" t="e">
        <f t="shared" si="8"/>
        <v>#REF!</v>
      </c>
      <c r="K28" s="178" t="e">
        <f t="shared" si="8"/>
        <v>#REF!</v>
      </c>
      <c r="L28" s="178" t="e">
        <f t="shared" si="8"/>
        <v>#REF!</v>
      </c>
      <c r="M28" s="178" t="e">
        <f t="shared" si="8"/>
        <v>#REF!</v>
      </c>
      <c r="N28" s="178" t="e">
        <f t="shared" si="8"/>
        <v>#REF!</v>
      </c>
      <c r="O28" s="178" t="e">
        <f t="shared" si="8"/>
        <v>#REF!</v>
      </c>
      <c r="P28" s="178" t="e">
        <f t="shared" si="8"/>
        <v>#REF!</v>
      </c>
      <c r="Q28" s="178" t="e">
        <f t="shared" si="8"/>
        <v>#REF!</v>
      </c>
      <c r="R28" s="178" t="e">
        <f t="shared" si="8"/>
        <v>#REF!</v>
      </c>
      <c r="S28" s="178" t="e">
        <f t="shared" si="8"/>
        <v>#REF!</v>
      </c>
      <c r="T28" s="178" t="e">
        <f t="shared" si="8"/>
        <v>#REF!</v>
      </c>
      <c r="U28" s="178" t="e">
        <f t="shared" si="8"/>
        <v>#REF!</v>
      </c>
      <c r="V28" s="178" t="e">
        <f t="shared" si="8"/>
        <v>#REF!</v>
      </c>
      <c r="W28" s="178" t="e">
        <f t="shared" si="8"/>
        <v>#REF!</v>
      </c>
      <c r="X28" s="178" t="e">
        <f t="shared" si="8"/>
        <v>#REF!</v>
      </c>
      <c r="Y28" s="178" t="e">
        <f t="shared" si="8"/>
        <v>#REF!</v>
      </c>
      <c r="Z28" s="178" t="e">
        <f t="shared" si="8"/>
        <v>#REF!</v>
      </c>
      <c r="AA28" s="178" t="e">
        <f t="shared" si="8"/>
        <v>#REF!</v>
      </c>
      <c r="AB28" s="178" t="e">
        <f t="shared" si="8"/>
        <v>#REF!</v>
      </c>
      <c r="AC28" s="178" t="e">
        <f t="shared" si="8"/>
        <v>#REF!</v>
      </c>
      <c r="AD28" s="26" t="e">
        <f t="shared" si="8"/>
        <v>#REF!</v>
      </c>
      <c r="AE28" s="26" t="e">
        <f t="shared" si="8"/>
        <v>#REF!</v>
      </c>
      <c r="AF28" s="26" t="e">
        <f t="shared" si="8"/>
        <v>#REF!</v>
      </c>
      <c r="AG28" s="26" t="e">
        <f t="shared" si="8"/>
        <v>#REF!</v>
      </c>
      <c r="AH28" s="26" t="e">
        <f t="shared" si="8"/>
        <v>#REF!</v>
      </c>
      <c r="AI28" s="26">
        <f t="shared" si="8"/>
        <v>0</v>
      </c>
      <c r="AJ28" s="26">
        <f t="shared" si="8"/>
        <v>0</v>
      </c>
      <c r="AK28" s="26">
        <f t="shared" si="8"/>
        <v>0</v>
      </c>
      <c r="AL28" s="26">
        <f t="shared" si="8"/>
        <v>0</v>
      </c>
      <c r="AM28" s="26">
        <f t="shared" si="8"/>
        <v>0</v>
      </c>
      <c r="AN28" s="36"/>
    </row>
    <row r="29" ht="15" hidden="true" customHeight="true" spans="2:39">
      <c r="B29" s="163"/>
      <c r="C29" s="164" t="s">
        <v>784</v>
      </c>
      <c r="D29" s="165"/>
      <c r="E29" s="165"/>
      <c r="F29" s="172"/>
      <c r="G29" s="172"/>
      <c r="H29" s="172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7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</row>
    <row r="30" ht="15" customHeight="true" spans="2:44">
      <c r="B30" s="166" t="s">
        <v>785</v>
      </c>
      <c r="C30" s="167" t="s">
        <v>786</v>
      </c>
      <c r="D30" s="168" t="e">
        <f>D22/D15</f>
        <v>#DIV/0!</v>
      </c>
      <c r="E30" s="168" t="e">
        <f>E22/E15*100%</f>
        <v>#DIV/0!</v>
      </c>
      <c r="F30" s="168" t="e">
        <f>F22/F15*100%</f>
        <v>#REF!</v>
      </c>
      <c r="G30" s="173" t="e">
        <f t="shared" ref="G30:AM30" si="9">IF(G5&gt;zq,0,G22/G15*100%)</f>
        <v>#REF!</v>
      </c>
      <c r="H30" s="173" t="e">
        <f t="shared" si="9"/>
        <v>#REF!</v>
      </c>
      <c r="I30" s="181" t="e">
        <f t="shared" si="9"/>
        <v>#REF!</v>
      </c>
      <c r="J30" s="181" t="e">
        <f t="shared" si="9"/>
        <v>#REF!</v>
      </c>
      <c r="K30" s="181" t="e">
        <f t="shared" si="9"/>
        <v>#REF!</v>
      </c>
      <c r="L30" s="181" t="e">
        <f t="shared" si="9"/>
        <v>#REF!</v>
      </c>
      <c r="M30" s="181" t="e">
        <f t="shared" si="9"/>
        <v>#REF!</v>
      </c>
      <c r="N30" s="181" t="e">
        <f t="shared" si="9"/>
        <v>#REF!</v>
      </c>
      <c r="O30" s="181" t="e">
        <f t="shared" si="9"/>
        <v>#REF!</v>
      </c>
      <c r="P30" s="181" t="e">
        <f t="shared" si="9"/>
        <v>#REF!</v>
      </c>
      <c r="Q30" s="181" t="e">
        <f t="shared" si="9"/>
        <v>#REF!</v>
      </c>
      <c r="R30" s="181" t="e">
        <f t="shared" si="9"/>
        <v>#REF!</v>
      </c>
      <c r="S30" s="181" t="e">
        <f t="shared" si="9"/>
        <v>#REF!</v>
      </c>
      <c r="T30" s="181" t="e">
        <f t="shared" si="9"/>
        <v>#REF!</v>
      </c>
      <c r="U30" s="181" t="e">
        <f t="shared" si="9"/>
        <v>#REF!</v>
      </c>
      <c r="V30" s="181" t="e">
        <f t="shared" si="9"/>
        <v>#REF!</v>
      </c>
      <c r="W30" s="181" t="e">
        <f t="shared" si="9"/>
        <v>#REF!</v>
      </c>
      <c r="X30" s="181" t="e">
        <f t="shared" si="9"/>
        <v>#REF!</v>
      </c>
      <c r="Y30" s="181" t="e">
        <f t="shared" si="9"/>
        <v>#REF!</v>
      </c>
      <c r="Z30" s="181" t="e">
        <f t="shared" si="9"/>
        <v>#REF!</v>
      </c>
      <c r="AA30" s="181" t="e">
        <f t="shared" si="9"/>
        <v>#REF!</v>
      </c>
      <c r="AB30" s="181" t="e">
        <f t="shared" si="9"/>
        <v>#REF!</v>
      </c>
      <c r="AC30" s="181" t="e">
        <f t="shared" si="9"/>
        <v>#REF!</v>
      </c>
      <c r="AD30" s="168" t="e">
        <f t="shared" si="9"/>
        <v>#REF!</v>
      </c>
      <c r="AE30" s="168" t="e">
        <f t="shared" si="9"/>
        <v>#REF!</v>
      </c>
      <c r="AF30" s="168" t="e">
        <f t="shared" si="9"/>
        <v>#REF!</v>
      </c>
      <c r="AG30" s="168" t="e">
        <f t="shared" si="9"/>
        <v>#REF!</v>
      </c>
      <c r="AH30" s="168" t="e">
        <f t="shared" si="9"/>
        <v>#REF!</v>
      </c>
      <c r="AI30" s="168">
        <f t="shared" si="9"/>
        <v>0</v>
      </c>
      <c r="AJ30" s="168">
        <f t="shared" si="9"/>
        <v>0</v>
      </c>
      <c r="AK30" s="168">
        <f t="shared" si="9"/>
        <v>0</v>
      </c>
      <c r="AL30" s="168">
        <f t="shared" si="9"/>
        <v>0</v>
      </c>
      <c r="AM30" s="168">
        <f t="shared" si="9"/>
        <v>0</v>
      </c>
      <c r="AR30" s="190" t="e">
        <f>SUM(J30:AM30)/'总表 (2)'!D43</f>
        <v>#REF!</v>
      </c>
    </row>
    <row r="31" ht="15" customHeight="true" spans="2:44">
      <c r="B31" s="169"/>
      <c r="C31" s="167" t="s">
        <v>787</v>
      </c>
      <c r="D31" s="168"/>
      <c r="E31" s="168"/>
      <c r="F31" s="168"/>
      <c r="G31" s="168"/>
      <c r="H31" s="168"/>
      <c r="I31" s="181"/>
      <c r="J31" s="181" t="e">
        <f t="shared" ref="J31:AM31" si="10">IF(J5&gt;zq,0,(J7)/J17)</f>
        <v>#REF!</v>
      </c>
      <c r="K31" s="181" t="e">
        <f t="shared" si="10"/>
        <v>#REF!</v>
      </c>
      <c r="L31" s="181" t="e">
        <f t="shared" si="10"/>
        <v>#REF!</v>
      </c>
      <c r="M31" s="181" t="e">
        <f t="shared" si="10"/>
        <v>#REF!</v>
      </c>
      <c r="N31" s="181" t="e">
        <f t="shared" si="10"/>
        <v>#REF!</v>
      </c>
      <c r="O31" s="181" t="e">
        <f t="shared" si="10"/>
        <v>#REF!</v>
      </c>
      <c r="P31" s="181" t="e">
        <f t="shared" si="10"/>
        <v>#REF!</v>
      </c>
      <c r="Q31" s="181" t="e">
        <f t="shared" si="10"/>
        <v>#REF!</v>
      </c>
      <c r="R31" s="181" t="e">
        <f t="shared" si="10"/>
        <v>#REF!</v>
      </c>
      <c r="S31" s="181" t="e">
        <f t="shared" si="10"/>
        <v>#REF!</v>
      </c>
      <c r="T31" s="181" t="e">
        <f t="shared" si="10"/>
        <v>#REF!</v>
      </c>
      <c r="U31" s="181" t="e">
        <f t="shared" si="10"/>
        <v>#REF!</v>
      </c>
      <c r="V31" s="181" t="e">
        <f t="shared" si="10"/>
        <v>#REF!</v>
      </c>
      <c r="W31" s="181" t="e">
        <f t="shared" si="10"/>
        <v>#REF!</v>
      </c>
      <c r="X31" s="181" t="e">
        <f t="shared" si="10"/>
        <v>#REF!</v>
      </c>
      <c r="Y31" s="181" t="e">
        <f t="shared" si="10"/>
        <v>#REF!</v>
      </c>
      <c r="Z31" s="181" t="e">
        <f t="shared" si="10"/>
        <v>#REF!</v>
      </c>
      <c r="AA31" s="181" t="e">
        <f t="shared" si="10"/>
        <v>#REF!</v>
      </c>
      <c r="AB31" s="181" t="e">
        <f t="shared" si="10"/>
        <v>#REF!</v>
      </c>
      <c r="AC31" s="181" t="e">
        <f t="shared" si="10"/>
        <v>#REF!</v>
      </c>
      <c r="AD31" s="168" t="e">
        <f t="shared" si="10"/>
        <v>#REF!</v>
      </c>
      <c r="AE31" s="168" t="e">
        <f t="shared" si="10"/>
        <v>#REF!</v>
      </c>
      <c r="AF31" s="168" t="e">
        <f t="shared" si="10"/>
        <v>#REF!</v>
      </c>
      <c r="AG31" s="168" t="e">
        <f t="shared" si="10"/>
        <v>#REF!</v>
      </c>
      <c r="AH31" s="168" t="e">
        <f t="shared" si="10"/>
        <v>#REF!</v>
      </c>
      <c r="AI31" s="168">
        <f t="shared" si="10"/>
        <v>0</v>
      </c>
      <c r="AJ31" s="168">
        <f t="shared" si="10"/>
        <v>0</v>
      </c>
      <c r="AK31" s="168">
        <f t="shared" si="10"/>
        <v>0</v>
      </c>
      <c r="AL31" s="168">
        <f t="shared" si="10"/>
        <v>0</v>
      </c>
      <c r="AM31" s="168">
        <f t="shared" si="10"/>
        <v>0</v>
      </c>
      <c r="AR31" s="190" t="e">
        <f>MIN(J36:AM36)</f>
        <v>#REF!</v>
      </c>
    </row>
    <row r="32" ht="15" customHeight="true" spans="2:44">
      <c r="B32" s="170"/>
      <c r="C32" s="167" t="s">
        <v>788</v>
      </c>
      <c r="D32" s="168"/>
      <c r="E32" s="168"/>
      <c r="F32" s="168"/>
      <c r="G32" s="168"/>
      <c r="H32" s="168"/>
      <c r="I32" s="181"/>
      <c r="J32" s="181" t="e">
        <f t="shared" ref="J32:AM32" si="11">IF(J5&gt;zq,0,(J7-J9)/J17)</f>
        <v>#REF!</v>
      </c>
      <c r="K32" s="181" t="e">
        <f t="shared" si="11"/>
        <v>#REF!</v>
      </c>
      <c r="L32" s="181" t="e">
        <f t="shared" si="11"/>
        <v>#REF!</v>
      </c>
      <c r="M32" s="181" t="e">
        <f t="shared" si="11"/>
        <v>#REF!</v>
      </c>
      <c r="N32" s="181" t="e">
        <f t="shared" si="11"/>
        <v>#REF!</v>
      </c>
      <c r="O32" s="181" t="e">
        <f t="shared" si="11"/>
        <v>#REF!</v>
      </c>
      <c r="P32" s="181" t="e">
        <f t="shared" si="11"/>
        <v>#REF!</v>
      </c>
      <c r="Q32" s="181" t="e">
        <f t="shared" si="11"/>
        <v>#REF!</v>
      </c>
      <c r="R32" s="181" t="e">
        <f t="shared" si="11"/>
        <v>#REF!</v>
      </c>
      <c r="S32" s="181" t="e">
        <f t="shared" si="11"/>
        <v>#REF!</v>
      </c>
      <c r="T32" s="181" t="e">
        <f t="shared" si="11"/>
        <v>#REF!</v>
      </c>
      <c r="U32" s="181" t="e">
        <f t="shared" si="11"/>
        <v>#REF!</v>
      </c>
      <c r="V32" s="181" t="e">
        <f t="shared" si="11"/>
        <v>#REF!</v>
      </c>
      <c r="W32" s="181" t="e">
        <f t="shared" si="11"/>
        <v>#REF!</v>
      </c>
      <c r="X32" s="181" t="e">
        <f t="shared" si="11"/>
        <v>#REF!</v>
      </c>
      <c r="Y32" s="181" t="e">
        <f t="shared" si="11"/>
        <v>#REF!</v>
      </c>
      <c r="Z32" s="181" t="e">
        <f t="shared" si="11"/>
        <v>#REF!</v>
      </c>
      <c r="AA32" s="181" t="e">
        <f t="shared" si="11"/>
        <v>#REF!</v>
      </c>
      <c r="AB32" s="181" t="e">
        <f t="shared" si="11"/>
        <v>#REF!</v>
      </c>
      <c r="AC32" s="181" t="e">
        <f t="shared" si="11"/>
        <v>#REF!</v>
      </c>
      <c r="AD32" s="168" t="e">
        <f t="shared" si="11"/>
        <v>#REF!</v>
      </c>
      <c r="AE32" s="168" t="e">
        <f t="shared" si="11"/>
        <v>#REF!</v>
      </c>
      <c r="AF32" s="168" t="e">
        <f t="shared" si="11"/>
        <v>#REF!</v>
      </c>
      <c r="AG32" s="168" t="e">
        <f t="shared" si="11"/>
        <v>#REF!</v>
      </c>
      <c r="AH32" s="168" t="e">
        <f t="shared" si="11"/>
        <v>#REF!</v>
      </c>
      <c r="AI32" s="168">
        <f t="shared" si="11"/>
        <v>0</v>
      </c>
      <c r="AJ32" s="168">
        <f t="shared" si="11"/>
        <v>0</v>
      </c>
      <c r="AK32" s="168">
        <f t="shared" si="11"/>
        <v>0</v>
      </c>
      <c r="AL32" s="168">
        <f t="shared" si="11"/>
        <v>0</v>
      </c>
      <c r="AM32" s="168">
        <f t="shared" si="11"/>
        <v>0</v>
      </c>
      <c r="AR32" s="190" t="e">
        <f>MIN(J37:AM37)</f>
        <v>#REF!</v>
      </c>
    </row>
    <row r="34" spans="10:12">
      <c r="J34" s="182"/>
      <c r="K34" s="182"/>
      <c r="L34" s="182"/>
    </row>
    <row r="35" spans="10:57">
      <c r="J35" s="183" t="e">
        <f>IF(J21&gt;0,0,IF(J5&gt;'总表 (2)'!$F42,0,J30))</f>
        <v>#REF!</v>
      </c>
      <c r="K35" s="183" t="e">
        <f>IF(K21&gt;0,0,IF(K5&gt;'总表 (2)'!$F42,0,K30))</f>
        <v>#REF!</v>
      </c>
      <c r="L35" s="183" t="e">
        <f>IF(L21&gt;0,0,IF(L5&gt;'总表 (2)'!$F42,0,L30))</f>
        <v>#REF!</v>
      </c>
      <c r="M35" s="183" t="e">
        <f>IF(M21&gt;0,0,IF(M5&gt;'总表 (2)'!$F42,0,M30))</f>
        <v>#REF!</v>
      </c>
      <c r="N35" s="183" t="e">
        <f>IF(N21&gt;0,0,IF(N5&gt;'总表 (2)'!$F42,0,N30))</f>
        <v>#REF!</v>
      </c>
      <c r="O35" s="183" t="e">
        <f>IF(O21&gt;0,0,IF(O5&gt;'总表 (2)'!$F42,0,O30))</f>
        <v>#REF!</v>
      </c>
      <c r="P35" s="183" t="e">
        <f>IF(P21&gt;0,0,IF(P5&gt;'总表 (2)'!$F42,0,P30))</f>
        <v>#REF!</v>
      </c>
      <c r="Q35" s="183" t="e">
        <f>IF(Q21&gt;0,0,IF(Q5&gt;'总表 (2)'!$F42,0,Q30))</f>
        <v>#REF!</v>
      </c>
      <c r="R35" s="183" t="e">
        <f>IF(R21&gt;0,0,IF(R5&gt;'总表 (2)'!$F42,0,R30))</f>
        <v>#REF!</v>
      </c>
      <c r="S35" s="183" t="e">
        <f>IF(S21&gt;0,0,IF(S5&gt;'总表 (2)'!$F42,0,S30))</f>
        <v>#REF!</v>
      </c>
      <c r="T35" s="183" t="e">
        <f>IF(T21&gt;0,0,IF(T5&gt;'总表 (2)'!$F42,0,T30))</f>
        <v>#REF!</v>
      </c>
      <c r="U35" s="183" t="e">
        <f>IF(U21&gt;0,0,IF(U5&gt;'总表 (2)'!$F42,0,U30))</f>
        <v>#REF!</v>
      </c>
      <c r="V35" s="183" t="e">
        <f>IF(V21&gt;0,0,IF(V5&gt;'总表 (2)'!$F42,0,V30))</f>
        <v>#REF!</v>
      </c>
      <c r="W35" s="183" t="e">
        <f>IF(W21&gt;0,0,IF(W5&gt;'总表 (2)'!$F42,0,W30))</f>
        <v>#REF!</v>
      </c>
      <c r="X35" s="183" t="e">
        <f>IF(X21&gt;0,0,IF(X5&gt;'总表 (2)'!$F42,0,X30))</f>
        <v>#REF!</v>
      </c>
      <c r="Y35" s="183" t="e">
        <f>IF(Y21&gt;0,0,IF(Y5&gt;'总表 (2)'!$F42,0,Y30))</f>
        <v>#REF!</v>
      </c>
      <c r="Z35" s="183" t="e">
        <f>IF(Z21&gt;0,0,IF(Z5&gt;'总表 (2)'!$F42,0,Z30))</f>
        <v>#REF!</v>
      </c>
      <c r="AA35" s="183" t="e">
        <f>IF(AA21&gt;0,0,IF(AA5&gt;'总表 (2)'!$F42,0,AA30))</f>
        <v>#REF!</v>
      </c>
      <c r="AB35" s="183" t="e">
        <f>IF(AB21&gt;0,0,IF(AB5&gt;'总表 (2)'!$F42,0,AB30))</f>
        <v>#REF!</v>
      </c>
      <c r="AC35" s="183" t="e">
        <f>IF(AC21&gt;0,0,IF(AC5&gt;'总表 (2)'!$F42,0,AC30))</f>
        <v>#REF!</v>
      </c>
      <c r="AD35" s="183" t="e">
        <f>IF(AD21&gt;0,0,IF(AD5&gt;'总表 (2)'!$F42,0,AD30))</f>
        <v>#REF!</v>
      </c>
      <c r="AE35" s="183" t="e">
        <f>IF(AE21&gt;0,0,IF(AE5&gt;'总表 (2)'!$F42,0,AE30))</f>
        <v>#REF!</v>
      </c>
      <c r="AF35" s="183" t="e">
        <f>IF(AF21&gt;0,0,IF(AF5&gt;'总表 (2)'!$F42,0,AF30))</f>
        <v>#REF!</v>
      </c>
      <c r="AG35" s="183" t="e">
        <f>IF(AG21&gt;0,0,IF(AG5&gt;'总表 (2)'!$F42,0,AG30))</f>
        <v>#REF!</v>
      </c>
      <c r="AH35" s="183" t="e">
        <f>IF(AH21&gt;0,0,IF(AH5&gt;'总表 (2)'!$F42,0,AH30))</f>
        <v>#REF!</v>
      </c>
      <c r="AI35" s="183">
        <f>IF(AI21&gt;0,0,IF(AI5&gt;'总表 (2)'!$F42,0,AI30))</f>
        <v>0</v>
      </c>
      <c r="AJ35" s="183">
        <f>IF(AJ21&gt;0,0,IF(AJ5&gt;'总表 (2)'!$F42,0,AJ30))</f>
        <v>0</v>
      </c>
      <c r="AK35" s="183">
        <f>IF(AK21&gt;0,0,IF(AK5&gt;'总表 (2)'!$F42,0,AK30))</f>
        <v>0</v>
      </c>
      <c r="AL35" s="183">
        <f>IF(AL21&gt;0,0,IF(AL5&gt;'总表 (2)'!$F42,0,AL30))</f>
        <v>0</v>
      </c>
      <c r="AM35" s="183">
        <f>IF(AM21&gt;0,0,IF(AM5&gt;'总表 (2)'!$F42,0,AM30))</f>
        <v>0</v>
      </c>
      <c r="AN35" s="182"/>
      <c r="AO35" s="182"/>
      <c r="AP35" s="182"/>
      <c r="AQ35" s="183" t="e">
        <f>MAX(J35:AM35)</f>
        <v>#REF!</v>
      </c>
      <c r="AR35" s="183" t="e">
        <f>CEILING(AQ35,0.01)</f>
        <v>#REF!</v>
      </c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</row>
    <row r="36" spans="10:39">
      <c r="J36" s="183" t="e">
        <f>IF(J5&gt;'总表 (2)'!$F$42,1000,J31)</f>
        <v>#REF!</v>
      </c>
      <c r="K36" s="183" t="e">
        <f>IF(K5&gt;'总表 (2)'!$F$42,1000,K31)</f>
        <v>#REF!</v>
      </c>
      <c r="L36" s="183" t="e">
        <f>IF(L5&gt;'总表 (2)'!$F$42,1000,L31)</f>
        <v>#REF!</v>
      </c>
      <c r="M36" s="183" t="e">
        <f>IF(M5&gt;'总表 (2)'!$F$42,1000,M31)</f>
        <v>#REF!</v>
      </c>
      <c r="N36" s="183" t="e">
        <f>IF(N5&gt;'总表 (2)'!$F$42,1000,N31)</f>
        <v>#REF!</v>
      </c>
      <c r="O36" s="183" t="e">
        <f>IF(O5&gt;'总表 (2)'!$F$42,1000,O31)</f>
        <v>#REF!</v>
      </c>
      <c r="P36" s="183" t="e">
        <f>IF(P5&gt;'总表 (2)'!$F$42,1000,P31)</f>
        <v>#REF!</v>
      </c>
      <c r="Q36" s="183" t="e">
        <f>IF(Q5&gt;'总表 (2)'!$F$42,1000,Q31)</f>
        <v>#REF!</v>
      </c>
      <c r="R36" s="183" t="e">
        <f>IF(R5&gt;'总表 (2)'!$F$42,1000,R31)</f>
        <v>#REF!</v>
      </c>
      <c r="S36" s="183" t="e">
        <f>IF(S5&gt;'总表 (2)'!$F$42,1000,S31)</f>
        <v>#REF!</v>
      </c>
      <c r="T36" s="183" t="e">
        <f>IF(T5&gt;'总表 (2)'!$F$42,1000,T31)</f>
        <v>#REF!</v>
      </c>
      <c r="U36" s="183" t="e">
        <f>IF(U5&gt;'总表 (2)'!$F$42,1000,U31)</f>
        <v>#REF!</v>
      </c>
      <c r="V36" s="183" t="e">
        <f>IF(V5&gt;'总表 (2)'!$F$42,1000,V31)</f>
        <v>#REF!</v>
      </c>
      <c r="W36" s="183" t="e">
        <f>IF(W5&gt;'总表 (2)'!$F$42,1000,W31)</f>
        <v>#REF!</v>
      </c>
      <c r="X36" s="183" t="e">
        <f>IF(X5&gt;'总表 (2)'!$F$42,1000,X31)</f>
        <v>#REF!</v>
      </c>
      <c r="Y36" s="183" t="e">
        <f>IF(Y5&gt;'总表 (2)'!$F$42,1000,Y31)</f>
        <v>#REF!</v>
      </c>
      <c r="Z36" s="183" t="e">
        <f>IF(Z5&gt;'总表 (2)'!$F$42,1000,Z31)</f>
        <v>#REF!</v>
      </c>
      <c r="AA36" s="183" t="e">
        <f>IF(AA5&gt;'总表 (2)'!$F$42,1000,AA31)</f>
        <v>#REF!</v>
      </c>
      <c r="AB36" s="183" t="e">
        <f>IF(AB5&gt;'总表 (2)'!$F$42,1000,AB31)</f>
        <v>#REF!</v>
      </c>
      <c r="AC36" s="183" t="e">
        <f>IF(AC5&gt;'总表 (2)'!$F$42,1000,AC31)</f>
        <v>#REF!</v>
      </c>
      <c r="AD36" s="183" t="e">
        <f>IF(AD5&gt;'总表 (2)'!$F$42,1000,AD31)</f>
        <v>#REF!</v>
      </c>
      <c r="AE36" s="183" t="e">
        <f>IF(AE5&gt;'总表 (2)'!$F$42,1000,AE31)</f>
        <v>#REF!</v>
      </c>
      <c r="AF36" s="183" t="e">
        <f>IF(AF5&gt;'总表 (2)'!$F$42,1000,AF31)</f>
        <v>#REF!</v>
      </c>
      <c r="AG36" s="183" t="e">
        <f>IF(AG5&gt;'总表 (2)'!$F$42,1000,AG31)</f>
        <v>#REF!</v>
      </c>
      <c r="AH36" s="183" t="e">
        <f>IF(AH5&gt;'总表 (2)'!$F$42,1000,AH31)</f>
        <v>#REF!</v>
      </c>
      <c r="AI36" s="183">
        <f>IF(AI5&gt;'总表 (2)'!$F$42,1000,AI31)</f>
        <v>1000</v>
      </c>
      <c r="AJ36" s="183">
        <f>IF(AJ5&gt;'总表 (2)'!$F$42,1000,AJ31)</f>
        <v>1000</v>
      </c>
      <c r="AK36" s="183">
        <f>IF(AK5&gt;'总表 (2)'!$F$42,1000,AK31)</f>
        <v>1000</v>
      </c>
      <c r="AL36" s="183">
        <f>IF(AL5&gt;'总表 (2)'!$F$42,1000,AL31)</f>
        <v>1000</v>
      </c>
      <c r="AM36" s="183">
        <f>IF(AM5&gt;'总表 (2)'!$F$42,1000,AM31)</f>
        <v>1000</v>
      </c>
    </row>
    <row r="37" spans="10:39">
      <c r="J37" s="183" t="e">
        <f>IF(J5&gt;'总表 (2)'!$F$42,1000,J32)</f>
        <v>#REF!</v>
      </c>
      <c r="K37" s="183" t="e">
        <f>IF(K5&gt;'总表 (2)'!$F$42,1000,K32)</f>
        <v>#REF!</v>
      </c>
      <c r="L37" s="183" t="e">
        <f>IF(L5&gt;'总表 (2)'!$F$42,1000,L32)</f>
        <v>#REF!</v>
      </c>
      <c r="M37" s="183" t="e">
        <f>IF(M5&gt;'总表 (2)'!$F$42,1000,M32)</f>
        <v>#REF!</v>
      </c>
      <c r="N37" s="183" t="e">
        <f>IF(N5&gt;'总表 (2)'!$F$42,1000,N32)</f>
        <v>#REF!</v>
      </c>
      <c r="O37" s="183" t="e">
        <f>IF(O5&gt;'总表 (2)'!$F$42,1000,O32)</f>
        <v>#REF!</v>
      </c>
      <c r="P37" s="183" t="e">
        <f>IF(P5&gt;'总表 (2)'!$F$42,1000,P32)</f>
        <v>#REF!</v>
      </c>
      <c r="Q37" s="183" t="e">
        <f>IF(Q5&gt;'总表 (2)'!$F$42,1000,Q32)</f>
        <v>#REF!</v>
      </c>
      <c r="R37" s="183" t="e">
        <f>IF(R5&gt;'总表 (2)'!$F$42,1000,R32)</f>
        <v>#REF!</v>
      </c>
      <c r="S37" s="183" t="e">
        <f>IF(S5&gt;'总表 (2)'!$F$42,1000,S32)</f>
        <v>#REF!</v>
      </c>
      <c r="T37" s="183" t="e">
        <f>IF(T5&gt;'总表 (2)'!$F$42,1000,T32)</f>
        <v>#REF!</v>
      </c>
      <c r="U37" s="183" t="e">
        <f>IF(U5&gt;'总表 (2)'!$F$42,1000,U32)</f>
        <v>#REF!</v>
      </c>
      <c r="V37" s="183" t="e">
        <f>IF(V5&gt;'总表 (2)'!$F$42,1000,V32)</f>
        <v>#REF!</v>
      </c>
      <c r="W37" s="183" t="e">
        <f>IF(W5&gt;'总表 (2)'!$F$42,1000,W32)</f>
        <v>#REF!</v>
      </c>
      <c r="X37" s="183" t="e">
        <f>IF(X5&gt;'总表 (2)'!$F$42,1000,X32)</f>
        <v>#REF!</v>
      </c>
      <c r="Y37" s="183" t="e">
        <f>IF(Y5&gt;'总表 (2)'!$F$42,1000,Y32)</f>
        <v>#REF!</v>
      </c>
      <c r="Z37" s="183" t="e">
        <f>IF(Z5&gt;'总表 (2)'!$F$42,1000,Z32)</f>
        <v>#REF!</v>
      </c>
      <c r="AA37" s="183" t="e">
        <f>IF(AA5&gt;'总表 (2)'!$F$42,1000,AA32)</f>
        <v>#REF!</v>
      </c>
      <c r="AB37" s="183" t="e">
        <f>IF(AB5&gt;'总表 (2)'!$F$42,1000,AB32)</f>
        <v>#REF!</v>
      </c>
      <c r="AC37" s="183" t="e">
        <f>IF(AC5&gt;'总表 (2)'!$F$42,1000,AC32)</f>
        <v>#REF!</v>
      </c>
      <c r="AD37" s="183" t="e">
        <f>IF(AD5&gt;'总表 (2)'!$F$42,1000,AD32)</f>
        <v>#REF!</v>
      </c>
      <c r="AE37" s="183" t="e">
        <f>IF(AE5&gt;'总表 (2)'!$F$42,1000,AE32)</f>
        <v>#REF!</v>
      </c>
      <c r="AF37" s="183" t="e">
        <f>IF(AF5&gt;'总表 (2)'!$F$42,1000,AF32)</f>
        <v>#REF!</v>
      </c>
      <c r="AG37" s="183" t="e">
        <f>IF(AG5&gt;'总表 (2)'!$F$42,1000,AG32)</f>
        <v>#REF!</v>
      </c>
      <c r="AH37" s="183" t="e">
        <f>IF(AH5&gt;'总表 (2)'!$F$42,1000,AH32)</f>
        <v>#REF!</v>
      </c>
      <c r="AI37" s="183">
        <f>IF(AI5&gt;'总表 (2)'!$F$42,1000,AI32)</f>
        <v>1000</v>
      </c>
      <c r="AJ37" s="183">
        <f>IF(AJ5&gt;'总表 (2)'!$F$42,1000,AJ32)</f>
        <v>1000</v>
      </c>
      <c r="AK37" s="183">
        <f>IF(AK5&gt;'总表 (2)'!$F$42,1000,AK32)</f>
        <v>1000</v>
      </c>
      <c r="AL37" s="183">
        <f>IF(AL5&gt;'总表 (2)'!$F$42,1000,AL32)</f>
        <v>1000</v>
      </c>
      <c r="AM37" s="183">
        <f>IF(AM5&gt;'总表 (2)'!$F$42,1000,AM32)</f>
        <v>1000</v>
      </c>
    </row>
    <row r="38" spans="10:13">
      <c r="J38" s="36"/>
      <c r="M38" s="36"/>
    </row>
  </sheetData>
  <mergeCells count="5">
    <mergeCell ref="B1:AM1"/>
    <mergeCell ref="B2:AM2"/>
    <mergeCell ref="D4:I4"/>
    <mergeCell ref="A17:A18"/>
    <mergeCell ref="B30:B32"/>
  </mergeCells>
  <printOptions horizontalCentered="true"/>
  <pageMargins left="0.354330708661417" right="0.196850393700787" top="1.2992125984252" bottom="0.31496062992126" header="0.905511811023622" footer="0.236220472440945"/>
  <pageSetup paperSize="9" scale="70" orientation="landscape"/>
  <headerFooter alignWithMargins="0"/>
  <colBreaks count="1" manualBreakCount="1">
    <brk id="39" max="31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42"/>
  <sheetViews>
    <sheetView showZeros="0" workbookViewId="0">
      <selection activeCell="K22" sqref="K22"/>
    </sheetView>
  </sheetViews>
  <sheetFormatPr defaultColWidth="10" defaultRowHeight="14.25"/>
  <cols>
    <col min="1" max="1" width="2.875" style="1" customWidth="true"/>
    <col min="2" max="2" width="6.375" style="1" customWidth="true"/>
    <col min="3" max="3" width="23.125" style="1" customWidth="true"/>
    <col min="4" max="4" width="7.375" style="1" hidden="true" customWidth="true"/>
    <col min="5" max="6" width="4.5" style="1" hidden="true" customWidth="true"/>
    <col min="7" max="7" width="5.5" style="1" hidden="true" customWidth="true"/>
    <col min="8" max="8" width="8.5" style="1" hidden="true" customWidth="true"/>
    <col min="9" max="9" width="9.5" style="1" hidden="true" customWidth="true"/>
    <col min="10" max="10" width="9.5" style="1" customWidth="true"/>
    <col min="11" max="11" width="8.875" style="1" customWidth="true"/>
    <col min="12" max="14" width="9.5" style="1" customWidth="true"/>
    <col min="15" max="23" width="8.5" style="1" customWidth="true"/>
    <col min="24" max="24" width="8.125" style="1" customWidth="true"/>
    <col min="25" max="38" width="7.875" style="1" customWidth="true"/>
    <col min="39" max="39" width="10" style="1" customWidth="true"/>
    <col min="40" max="40" width="5" style="1" customWidth="true"/>
    <col min="41" max="41" width="1.5" style="1" customWidth="true"/>
    <col min="42" max="16384" width="10" style="1"/>
  </cols>
  <sheetData>
    <row r="1" ht="22.5" customHeight="true" spans="2:40">
      <c r="B1" s="121" t="s">
        <v>789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</row>
    <row r="2" s="120" customFormat="true" ht="15" customHeight="true" spans="2:40">
      <c r="B2" s="123" t="s">
        <v>617</v>
      </c>
      <c r="C2" s="123"/>
      <c r="D2" s="124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="120" customFormat="true" ht="24.95" customHeight="true" spans="2:41">
      <c r="B3" s="125" t="s">
        <v>493</v>
      </c>
      <c r="C3" s="126" t="s">
        <v>618</v>
      </c>
      <c r="D3" s="6" t="s">
        <v>790</v>
      </c>
      <c r="E3" s="145" t="s">
        <v>512</v>
      </c>
      <c r="F3" s="145"/>
      <c r="G3" s="145"/>
      <c r="H3" s="145"/>
      <c r="I3" s="145"/>
      <c r="J3" s="145"/>
      <c r="K3" s="32" t="s">
        <v>621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156"/>
    </row>
    <row r="4" s="120" customFormat="true" ht="24.95" customHeight="true" spans="2:40">
      <c r="B4" s="127" t="s">
        <v>496</v>
      </c>
      <c r="C4" s="8" t="s">
        <v>475</v>
      </c>
      <c r="D4" s="41" t="s">
        <v>791</v>
      </c>
      <c r="E4" s="9">
        <f t="shared" ref="E4:I4" si="0">F4-1</f>
        <v>-3</v>
      </c>
      <c r="F4" s="9">
        <f t="shared" si="0"/>
        <v>-2</v>
      </c>
      <c r="G4" s="9">
        <f t="shared" si="0"/>
        <v>-1</v>
      </c>
      <c r="H4" s="9">
        <f t="shared" si="0"/>
        <v>0</v>
      </c>
      <c r="I4" s="9">
        <f t="shared" si="0"/>
        <v>1</v>
      </c>
      <c r="J4" s="9">
        <f>'总表 (2)'!D42</f>
        <v>2</v>
      </c>
      <c r="K4" s="32">
        <f t="shared" ref="K4:AN4" si="1">J4+1</f>
        <v>3</v>
      </c>
      <c r="L4" s="32">
        <f t="shared" si="1"/>
        <v>4</v>
      </c>
      <c r="M4" s="32">
        <f t="shared" si="1"/>
        <v>5</v>
      </c>
      <c r="N4" s="32">
        <f t="shared" si="1"/>
        <v>6</v>
      </c>
      <c r="O4" s="32">
        <f t="shared" si="1"/>
        <v>7</v>
      </c>
      <c r="P4" s="32">
        <f t="shared" si="1"/>
        <v>8</v>
      </c>
      <c r="Q4" s="32">
        <f t="shared" si="1"/>
        <v>9</v>
      </c>
      <c r="R4" s="32">
        <f t="shared" si="1"/>
        <v>10</v>
      </c>
      <c r="S4" s="32">
        <f t="shared" si="1"/>
        <v>11</v>
      </c>
      <c r="T4" s="32">
        <f t="shared" si="1"/>
        <v>12</v>
      </c>
      <c r="U4" s="32">
        <f t="shared" si="1"/>
        <v>13</v>
      </c>
      <c r="V4" s="32">
        <f t="shared" si="1"/>
        <v>14</v>
      </c>
      <c r="W4" s="32">
        <f t="shared" si="1"/>
        <v>15</v>
      </c>
      <c r="X4" s="32">
        <f t="shared" si="1"/>
        <v>16</v>
      </c>
      <c r="Y4" s="32">
        <f t="shared" si="1"/>
        <v>17</v>
      </c>
      <c r="Z4" s="32">
        <f t="shared" si="1"/>
        <v>18</v>
      </c>
      <c r="AA4" s="32">
        <f t="shared" si="1"/>
        <v>19</v>
      </c>
      <c r="AB4" s="32">
        <f t="shared" si="1"/>
        <v>20</v>
      </c>
      <c r="AC4" s="32">
        <f t="shared" si="1"/>
        <v>21</v>
      </c>
      <c r="AD4" s="32">
        <f t="shared" si="1"/>
        <v>22</v>
      </c>
      <c r="AE4" s="32">
        <f t="shared" si="1"/>
        <v>23</v>
      </c>
      <c r="AF4" s="32">
        <f t="shared" si="1"/>
        <v>24</v>
      </c>
      <c r="AG4" s="32">
        <f t="shared" si="1"/>
        <v>25</v>
      </c>
      <c r="AH4" s="32">
        <f t="shared" si="1"/>
        <v>26</v>
      </c>
      <c r="AI4" s="32">
        <f t="shared" si="1"/>
        <v>27</v>
      </c>
      <c r="AJ4" s="32">
        <f t="shared" si="1"/>
        <v>28</v>
      </c>
      <c r="AK4" s="32">
        <f t="shared" si="1"/>
        <v>29</v>
      </c>
      <c r="AL4" s="32">
        <f t="shared" si="1"/>
        <v>30</v>
      </c>
      <c r="AM4" s="32">
        <f t="shared" si="1"/>
        <v>31</v>
      </c>
      <c r="AN4" s="32">
        <f t="shared" si="1"/>
        <v>32</v>
      </c>
    </row>
    <row r="5" s="120" customFormat="true" ht="24.95" customHeight="true" spans="2:40">
      <c r="B5" s="128">
        <v>1</v>
      </c>
      <c r="C5" s="129" t="s">
        <v>792</v>
      </c>
      <c r="D5" s="130">
        <f>利息!F6</f>
        <v>0.042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</row>
    <row r="6" s="120" customFormat="true" ht="24.95" customHeight="true" spans="2:40">
      <c r="B6" s="131">
        <v>1.1</v>
      </c>
      <c r="C6" s="132" t="s">
        <v>793</v>
      </c>
      <c r="D6" s="133"/>
      <c r="E6" s="146">
        <v>0</v>
      </c>
      <c r="F6" s="146">
        <f>SUM(E7:E8)</f>
        <v>0</v>
      </c>
      <c r="G6" s="147">
        <f>SUM(F7:F8)</f>
        <v>0</v>
      </c>
      <c r="H6" s="148" t="e">
        <f t="shared" ref="H6:AN6" si="2">SUM(H7:H8)</f>
        <v>#REF!</v>
      </c>
      <c r="I6" s="148" t="e">
        <f t="shared" si="2"/>
        <v>#REF!</v>
      </c>
      <c r="J6" s="148" t="e">
        <f t="shared" si="2"/>
        <v>#REF!</v>
      </c>
      <c r="K6" s="152" t="e">
        <f t="shared" si="2"/>
        <v>#REF!</v>
      </c>
      <c r="L6" s="152" t="e">
        <f t="shared" si="2"/>
        <v>#REF!</v>
      </c>
      <c r="M6" s="152" t="e">
        <f t="shared" si="2"/>
        <v>#REF!</v>
      </c>
      <c r="N6" s="152" t="e">
        <f t="shared" si="2"/>
        <v>#REF!</v>
      </c>
      <c r="O6" s="152" t="e">
        <f t="shared" si="2"/>
        <v>#REF!</v>
      </c>
      <c r="P6" s="152" t="e">
        <f t="shared" si="2"/>
        <v>#REF!</v>
      </c>
      <c r="Q6" s="152" t="e">
        <f t="shared" si="2"/>
        <v>#REF!</v>
      </c>
      <c r="R6" s="152" t="e">
        <f t="shared" si="2"/>
        <v>#REF!</v>
      </c>
      <c r="S6" s="152" t="e">
        <f t="shared" si="2"/>
        <v>#REF!</v>
      </c>
      <c r="T6" s="152" t="e">
        <f t="shared" si="2"/>
        <v>#REF!</v>
      </c>
      <c r="U6" s="152" t="e">
        <f t="shared" si="2"/>
        <v>#REF!</v>
      </c>
      <c r="V6" s="152" t="e">
        <f t="shared" si="2"/>
        <v>#REF!</v>
      </c>
      <c r="W6" s="152" t="e">
        <f t="shared" si="2"/>
        <v>#REF!</v>
      </c>
      <c r="X6" s="152" t="e">
        <f t="shared" si="2"/>
        <v>#REF!</v>
      </c>
      <c r="Y6" s="152" t="e">
        <f t="shared" si="2"/>
        <v>#REF!</v>
      </c>
      <c r="Z6" s="152" t="e">
        <f t="shared" si="2"/>
        <v>#REF!</v>
      </c>
      <c r="AA6" s="152" t="e">
        <f t="shared" si="2"/>
        <v>#REF!</v>
      </c>
      <c r="AB6" s="152" t="e">
        <f t="shared" si="2"/>
        <v>#REF!</v>
      </c>
      <c r="AC6" s="152" t="e">
        <f t="shared" si="2"/>
        <v>#REF!</v>
      </c>
      <c r="AD6" s="152" t="e">
        <f t="shared" si="2"/>
        <v>#REF!</v>
      </c>
      <c r="AE6" s="152" t="e">
        <f t="shared" si="2"/>
        <v>#REF!</v>
      </c>
      <c r="AF6" s="152" t="e">
        <f t="shared" si="2"/>
        <v>#REF!</v>
      </c>
      <c r="AG6" s="152" t="e">
        <f t="shared" si="2"/>
        <v>#REF!</v>
      </c>
      <c r="AH6" s="152" t="e">
        <f t="shared" si="2"/>
        <v>#REF!</v>
      </c>
      <c r="AI6" s="152" t="e">
        <f t="shared" si="2"/>
        <v>#REF!</v>
      </c>
      <c r="AJ6" s="152" t="e">
        <f t="shared" si="2"/>
        <v>#REF!</v>
      </c>
      <c r="AK6" s="152" t="e">
        <f t="shared" si="2"/>
        <v>#REF!</v>
      </c>
      <c r="AL6" s="152" t="e">
        <f t="shared" si="2"/>
        <v>#REF!</v>
      </c>
      <c r="AM6" s="152" t="e">
        <f t="shared" si="2"/>
        <v>#REF!</v>
      </c>
      <c r="AN6" s="152" t="e">
        <f t="shared" si="2"/>
        <v>#REF!</v>
      </c>
    </row>
    <row r="7" s="120" customFormat="true" ht="24.95" customHeight="true" spans="2:40">
      <c r="B7" s="131" t="s">
        <v>720</v>
      </c>
      <c r="C7" s="132" t="s">
        <v>794</v>
      </c>
      <c r="D7" s="133"/>
      <c r="E7" s="146">
        <v>0</v>
      </c>
      <c r="F7" s="146">
        <v>0</v>
      </c>
      <c r="G7" s="147">
        <v>0</v>
      </c>
      <c r="H7" s="148" t="e">
        <f t="shared" ref="H7:J7" si="3">G7+G9</f>
        <v>#REF!</v>
      </c>
      <c r="I7" s="148" t="e">
        <f t="shared" si="3"/>
        <v>#REF!</v>
      </c>
      <c r="J7" s="148" t="e">
        <f t="shared" si="3"/>
        <v>#REF!</v>
      </c>
      <c r="K7" s="152" t="e">
        <f t="shared" ref="K7:AN7" si="4">ROUND(IF(J6+J9+J10-J12-J13&lt;=0,0,J6+J9+J10-J12-J13),2)</f>
        <v>#REF!</v>
      </c>
      <c r="L7" s="152" t="e">
        <f t="shared" si="4"/>
        <v>#REF!</v>
      </c>
      <c r="M7" s="152" t="e">
        <f t="shared" si="4"/>
        <v>#REF!</v>
      </c>
      <c r="N7" s="152" t="e">
        <f t="shared" si="4"/>
        <v>#REF!</v>
      </c>
      <c r="O7" s="152" t="e">
        <f t="shared" si="4"/>
        <v>#REF!</v>
      </c>
      <c r="P7" s="152" t="e">
        <f t="shared" si="4"/>
        <v>#REF!</v>
      </c>
      <c r="Q7" s="152" t="e">
        <f t="shared" si="4"/>
        <v>#REF!</v>
      </c>
      <c r="R7" s="152" t="e">
        <f t="shared" si="4"/>
        <v>#REF!</v>
      </c>
      <c r="S7" s="152" t="e">
        <f t="shared" si="4"/>
        <v>#REF!</v>
      </c>
      <c r="T7" s="152" t="e">
        <f t="shared" si="4"/>
        <v>#REF!</v>
      </c>
      <c r="U7" s="152" t="e">
        <f t="shared" si="4"/>
        <v>#REF!</v>
      </c>
      <c r="V7" s="152" t="e">
        <f t="shared" si="4"/>
        <v>#REF!</v>
      </c>
      <c r="W7" s="152" t="e">
        <f t="shared" si="4"/>
        <v>#REF!</v>
      </c>
      <c r="X7" s="152" t="e">
        <f t="shared" si="4"/>
        <v>#REF!</v>
      </c>
      <c r="Y7" s="152" t="e">
        <f t="shared" si="4"/>
        <v>#REF!</v>
      </c>
      <c r="Z7" s="152" t="e">
        <f t="shared" si="4"/>
        <v>#REF!</v>
      </c>
      <c r="AA7" s="152" t="e">
        <f t="shared" si="4"/>
        <v>#REF!</v>
      </c>
      <c r="AB7" s="152" t="e">
        <f t="shared" si="4"/>
        <v>#REF!</v>
      </c>
      <c r="AC7" s="152" t="e">
        <f t="shared" si="4"/>
        <v>#REF!</v>
      </c>
      <c r="AD7" s="152" t="e">
        <f t="shared" si="4"/>
        <v>#REF!</v>
      </c>
      <c r="AE7" s="152" t="e">
        <f t="shared" si="4"/>
        <v>#REF!</v>
      </c>
      <c r="AF7" s="152" t="e">
        <f t="shared" si="4"/>
        <v>#REF!</v>
      </c>
      <c r="AG7" s="152" t="e">
        <f t="shared" si="4"/>
        <v>#REF!</v>
      </c>
      <c r="AH7" s="152" t="e">
        <f t="shared" si="4"/>
        <v>#REF!</v>
      </c>
      <c r="AI7" s="152" t="e">
        <f t="shared" si="4"/>
        <v>#REF!</v>
      </c>
      <c r="AJ7" s="152" t="e">
        <f t="shared" si="4"/>
        <v>#REF!</v>
      </c>
      <c r="AK7" s="152" t="e">
        <f t="shared" si="4"/>
        <v>#REF!</v>
      </c>
      <c r="AL7" s="152" t="e">
        <f t="shared" si="4"/>
        <v>#REF!</v>
      </c>
      <c r="AM7" s="152" t="e">
        <f t="shared" si="4"/>
        <v>#REF!</v>
      </c>
      <c r="AN7" s="152" t="e">
        <f t="shared" si="4"/>
        <v>#REF!</v>
      </c>
    </row>
    <row r="8" s="120" customFormat="true" ht="24.95" customHeight="true" spans="2:40">
      <c r="B8" s="131" t="s">
        <v>722</v>
      </c>
      <c r="C8" s="132" t="s">
        <v>795</v>
      </c>
      <c r="D8" s="133"/>
      <c r="E8" s="146">
        <v>0</v>
      </c>
      <c r="F8" s="146">
        <v>0</v>
      </c>
      <c r="G8" s="147"/>
      <c r="H8" s="148"/>
      <c r="I8" s="148"/>
      <c r="J8" s="148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="120" customFormat="true" ht="24.95" customHeight="true" spans="2:40">
      <c r="B9" s="131">
        <v>1.2</v>
      </c>
      <c r="C9" s="132" t="s">
        <v>796</v>
      </c>
      <c r="D9" s="133"/>
      <c r="E9" s="146">
        <v>0</v>
      </c>
      <c r="F9" s="146">
        <v>0</v>
      </c>
      <c r="G9" s="148" t="e">
        <f>利息!E13</f>
        <v>#REF!</v>
      </c>
      <c r="H9" s="148" t="e">
        <f>利息!F13</f>
        <v>#REF!</v>
      </c>
      <c r="I9" s="148" t="e">
        <f>利息!G13</f>
        <v>#REF!</v>
      </c>
      <c r="J9" s="148" t="e">
        <f>利息!H13</f>
        <v>#REF!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="120" customFormat="true" ht="24.95" customHeight="true" spans="2:40">
      <c r="B10" s="131">
        <v>1.3</v>
      </c>
      <c r="C10" s="132" t="s">
        <v>797</v>
      </c>
      <c r="D10" s="133"/>
      <c r="E10" s="146">
        <v>0</v>
      </c>
      <c r="F10" s="146">
        <v>0</v>
      </c>
      <c r="G10" s="147" t="e">
        <f>G9*D5/2</f>
        <v>#REF!</v>
      </c>
      <c r="H10" s="148" t="e">
        <f>H6*$D$5+H9*$D$5/2</f>
        <v>#REF!</v>
      </c>
      <c r="I10" s="148" t="e">
        <f>I6*$D$5+I9*$D$5/2</f>
        <v>#REF!</v>
      </c>
      <c r="J10" s="148" t="e">
        <f>J6*$D$5+J9*$D$5/2</f>
        <v>#REF!</v>
      </c>
      <c r="K10" s="152" t="e">
        <f t="shared" ref="K10:AN10" si="5">IF(K6=0,0,(K6)*$D$5)</f>
        <v>#REF!</v>
      </c>
      <c r="L10" s="152" t="e">
        <f t="shared" si="5"/>
        <v>#REF!</v>
      </c>
      <c r="M10" s="152" t="e">
        <f t="shared" si="5"/>
        <v>#REF!</v>
      </c>
      <c r="N10" s="152" t="e">
        <f t="shared" si="5"/>
        <v>#REF!</v>
      </c>
      <c r="O10" s="152" t="e">
        <f t="shared" si="5"/>
        <v>#REF!</v>
      </c>
      <c r="P10" s="152" t="e">
        <f t="shared" si="5"/>
        <v>#REF!</v>
      </c>
      <c r="Q10" s="152" t="e">
        <f t="shared" si="5"/>
        <v>#REF!</v>
      </c>
      <c r="R10" s="152" t="e">
        <f t="shared" si="5"/>
        <v>#REF!</v>
      </c>
      <c r="S10" s="152" t="e">
        <f t="shared" si="5"/>
        <v>#REF!</v>
      </c>
      <c r="T10" s="152" t="e">
        <f t="shared" si="5"/>
        <v>#REF!</v>
      </c>
      <c r="U10" s="152" t="e">
        <f t="shared" si="5"/>
        <v>#REF!</v>
      </c>
      <c r="V10" s="152" t="e">
        <f t="shared" si="5"/>
        <v>#REF!</v>
      </c>
      <c r="W10" s="152" t="e">
        <f t="shared" si="5"/>
        <v>#REF!</v>
      </c>
      <c r="X10" s="152" t="e">
        <f t="shared" si="5"/>
        <v>#REF!</v>
      </c>
      <c r="Y10" s="152" t="e">
        <f t="shared" si="5"/>
        <v>#REF!</v>
      </c>
      <c r="Z10" s="152" t="e">
        <f t="shared" si="5"/>
        <v>#REF!</v>
      </c>
      <c r="AA10" s="152" t="e">
        <f t="shared" si="5"/>
        <v>#REF!</v>
      </c>
      <c r="AB10" s="152" t="e">
        <f t="shared" si="5"/>
        <v>#REF!</v>
      </c>
      <c r="AC10" s="152" t="e">
        <f t="shared" si="5"/>
        <v>#REF!</v>
      </c>
      <c r="AD10" s="152" t="e">
        <f t="shared" si="5"/>
        <v>#REF!</v>
      </c>
      <c r="AE10" s="152" t="e">
        <f t="shared" si="5"/>
        <v>#REF!</v>
      </c>
      <c r="AF10" s="152" t="e">
        <f t="shared" si="5"/>
        <v>#REF!</v>
      </c>
      <c r="AG10" s="152" t="e">
        <f t="shared" si="5"/>
        <v>#REF!</v>
      </c>
      <c r="AH10" s="152" t="e">
        <f t="shared" si="5"/>
        <v>#REF!</v>
      </c>
      <c r="AI10" s="152" t="e">
        <f t="shared" si="5"/>
        <v>#REF!</v>
      </c>
      <c r="AJ10" s="152" t="e">
        <f t="shared" si="5"/>
        <v>#REF!</v>
      </c>
      <c r="AK10" s="152" t="e">
        <f t="shared" si="5"/>
        <v>#REF!</v>
      </c>
      <c r="AL10" s="152" t="e">
        <f t="shared" si="5"/>
        <v>#REF!</v>
      </c>
      <c r="AM10" s="152" t="e">
        <f t="shared" si="5"/>
        <v>#REF!</v>
      </c>
      <c r="AN10" s="152" t="e">
        <f t="shared" si="5"/>
        <v>#REF!</v>
      </c>
    </row>
    <row r="11" s="120" customFormat="true" ht="24.95" hidden="true" customHeight="true" spans="2:40">
      <c r="B11" s="131">
        <v>1.4</v>
      </c>
      <c r="C11" s="132" t="s">
        <v>683</v>
      </c>
      <c r="D11" s="133"/>
      <c r="E11" s="146"/>
      <c r="F11" s="146"/>
      <c r="G11" s="147"/>
      <c r="H11" s="148"/>
      <c r="I11" s="148"/>
      <c r="J11" s="148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</row>
    <row r="12" s="120" customFormat="true" ht="24.95" customHeight="true" spans="1:42">
      <c r="A12" s="134"/>
      <c r="B12" s="131">
        <v>1.4</v>
      </c>
      <c r="C12" s="132" t="s">
        <v>798</v>
      </c>
      <c r="D12" s="133"/>
      <c r="E12" s="146">
        <v>0</v>
      </c>
      <c r="F12" s="146">
        <v>0</v>
      </c>
      <c r="G12" s="147"/>
      <c r="H12" s="148"/>
      <c r="I12" s="148"/>
      <c r="J12" s="148"/>
      <c r="K12" s="152" t="e">
        <f t="shared" ref="K12:AN12" si="6">IF(K19&gt;K6,K6,K19)</f>
        <v>#REF!</v>
      </c>
      <c r="L12" s="152" t="e">
        <f t="shared" si="6"/>
        <v>#REF!</v>
      </c>
      <c r="M12" s="152" t="e">
        <f t="shared" si="6"/>
        <v>#REF!</v>
      </c>
      <c r="N12" s="152" t="e">
        <f t="shared" si="6"/>
        <v>#REF!</v>
      </c>
      <c r="O12" s="152" t="e">
        <f t="shared" si="6"/>
        <v>#REF!</v>
      </c>
      <c r="P12" s="152" t="e">
        <f t="shared" si="6"/>
        <v>#REF!</v>
      </c>
      <c r="Q12" s="152" t="e">
        <f t="shared" si="6"/>
        <v>#REF!</v>
      </c>
      <c r="R12" s="152" t="e">
        <f t="shared" si="6"/>
        <v>#REF!</v>
      </c>
      <c r="S12" s="152" t="e">
        <f t="shared" si="6"/>
        <v>#REF!</v>
      </c>
      <c r="T12" s="152" t="e">
        <f t="shared" si="6"/>
        <v>#REF!</v>
      </c>
      <c r="U12" s="152" t="e">
        <f t="shared" si="6"/>
        <v>#REF!</v>
      </c>
      <c r="V12" s="152" t="e">
        <f t="shared" si="6"/>
        <v>#REF!</v>
      </c>
      <c r="W12" s="152" t="e">
        <f t="shared" si="6"/>
        <v>#REF!</v>
      </c>
      <c r="X12" s="152" t="e">
        <f t="shared" si="6"/>
        <v>#REF!</v>
      </c>
      <c r="Y12" s="152" t="e">
        <f t="shared" si="6"/>
        <v>#REF!</v>
      </c>
      <c r="Z12" s="152" t="e">
        <f t="shared" si="6"/>
        <v>#REF!</v>
      </c>
      <c r="AA12" s="152" t="e">
        <f t="shared" si="6"/>
        <v>#REF!</v>
      </c>
      <c r="AB12" s="152" t="e">
        <f t="shared" si="6"/>
        <v>#REF!</v>
      </c>
      <c r="AC12" s="152" t="e">
        <f t="shared" si="6"/>
        <v>#REF!</v>
      </c>
      <c r="AD12" s="152" t="e">
        <f t="shared" si="6"/>
        <v>#REF!</v>
      </c>
      <c r="AE12" s="147" t="e">
        <f t="shared" si="6"/>
        <v>#REF!</v>
      </c>
      <c r="AF12" s="147" t="e">
        <f t="shared" si="6"/>
        <v>#REF!</v>
      </c>
      <c r="AG12" s="147" t="e">
        <f t="shared" si="6"/>
        <v>#REF!</v>
      </c>
      <c r="AH12" s="147" t="e">
        <f t="shared" si="6"/>
        <v>#REF!</v>
      </c>
      <c r="AI12" s="147" t="e">
        <f t="shared" si="6"/>
        <v>#REF!</v>
      </c>
      <c r="AJ12" s="147" t="e">
        <f t="shared" si="6"/>
        <v>#REF!</v>
      </c>
      <c r="AK12" s="147" t="e">
        <f t="shared" si="6"/>
        <v>#REF!</v>
      </c>
      <c r="AL12" s="147" t="e">
        <f t="shared" si="6"/>
        <v>#REF!</v>
      </c>
      <c r="AM12" s="147" t="e">
        <f t="shared" si="6"/>
        <v>#REF!</v>
      </c>
      <c r="AN12" s="147" t="e">
        <f t="shared" si="6"/>
        <v>#REF!</v>
      </c>
      <c r="AO12" s="157"/>
      <c r="AP12" s="157"/>
    </row>
    <row r="13" s="120" customFormat="true" ht="24.95" customHeight="true" spans="2:40">
      <c r="B13" s="131">
        <v>1.5</v>
      </c>
      <c r="C13" s="132" t="s">
        <v>799</v>
      </c>
      <c r="D13" s="133"/>
      <c r="E13" s="146">
        <v>0</v>
      </c>
      <c r="F13" s="146">
        <v>0</v>
      </c>
      <c r="G13" s="147" t="e">
        <f t="shared" ref="G13:J13" si="7">G10</f>
        <v>#REF!</v>
      </c>
      <c r="H13" s="148" t="e">
        <f t="shared" si="7"/>
        <v>#REF!</v>
      </c>
      <c r="I13" s="148" t="e">
        <f t="shared" si="7"/>
        <v>#REF!</v>
      </c>
      <c r="J13" s="148" t="e">
        <f t="shared" si="7"/>
        <v>#REF!</v>
      </c>
      <c r="K13" s="152" t="e">
        <f t="shared" ref="K13:AN13" si="8">IF(K10=0,0,K10)</f>
        <v>#REF!</v>
      </c>
      <c r="L13" s="152" t="e">
        <f t="shared" si="8"/>
        <v>#REF!</v>
      </c>
      <c r="M13" s="152" t="e">
        <f t="shared" si="8"/>
        <v>#REF!</v>
      </c>
      <c r="N13" s="152" t="e">
        <f t="shared" si="8"/>
        <v>#REF!</v>
      </c>
      <c r="O13" s="152" t="e">
        <f t="shared" si="8"/>
        <v>#REF!</v>
      </c>
      <c r="P13" s="152" t="e">
        <f t="shared" si="8"/>
        <v>#REF!</v>
      </c>
      <c r="Q13" s="152" t="e">
        <f t="shared" si="8"/>
        <v>#REF!</v>
      </c>
      <c r="R13" s="152" t="e">
        <f t="shared" si="8"/>
        <v>#REF!</v>
      </c>
      <c r="S13" s="152" t="e">
        <f t="shared" si="8"/>
        <v>#REF!</v>
      </c>
      <c r="T13" s="152" t="e">
        <f t="shared" si="8"/>
        <v>#REF!</v>
      </c>
      <c r="U13" s="152" t="e">
        <f t="shared" si="8"/>
        <v>#REF!</v>
      </c>
      <c r="V13" s="152" t="e">
        <f t="shared" si="8"/>
        <v>#REF!</v>
      </c>
      <c r="W13" s="152" t="e">
        <f t="shared" si="8"/>
        <v>#REF!</v>
      </c>
      <c r="X13" s="152" t="e">
        <f t="shared" si="8"/>
        <v>#REF!</v>
      </c>
      <c r="Y13" s="152" t="e">
        <f t="shared" si="8"/>
        <v>#REF!</v>
      </c>
      <c r="Z13" s="152" t="e">
        <f t="shared" si="8"/>
        <v>#REF!</v>
      </c>
      <c r="AA13" s="152" t="e">
        <f t="shared" si="8"/>
        <v>#REF!</v>
      </c>
      <c r="AB13" s="152" t="e">
        <f t="shared" si="8"/>
        <v>#REF!</v>
      </c>
      <c r="AC13" s="152" t="e">
        <f t="shared" si="8"/>
        <v>#REF!</v>
      </c>
      <c r="AD13" s="152" t="e">
        <f t="shared" si="8"/>
        <v>#REF!</v>
      </c>
      <c r="AE13" s="148" t="e">
        <f t="shared" si="8"/>
        <v>#REF!</v>
      </c>
      <c r="AF13" s="148" t="e">
        <f t="shared" si="8"/>
        <v>#REF!</v>
      </c>
      <c r="AG13" s="148" t="e">
        <f t="shared" si="8"/>
        <v>#REF!</v>
      </c>
      <c r="AH13" s="148" t="e">
        <f t="shared" si="8"/>
        <v>#REF!</v>
      </c>
      <c r="AI13" s="148" t="e">
        <f t="shared" si="8"/>
        <v>#REF!</v>
      </c>
      <c r="AJ13" s="148" t="e">
        <f t="shared" si="8"/>
        <v>#REF!</v>
      </c>
      <c r="AK13" s="148" t="e">
        <f t="shared" si="8"/>
        <v>#REF!</v>
      </c>
      <c r="AL13" s="148" t="e">
        <f t="shared" si="8"/>
        <v>#REF!</v>
      </c>
      <c r="AM13" s="148" t="e">
        <f t="shared" si="8"/>
        <v>#REF!</v>
      </c>
      <c r="AN13" s="148" t="e">
        <f t="shared" si="8"/>
        <v>#REF!</v>
      </c>
    </row>
    <row r="14" s="120" customFormat="true" ht="24.95" customHeight="true" spans="2:40">
      <c r="B14" s="128">
        <v>2</v>
      </c>
      <c r="C14" s="129" t="s">
        <v>800</v>
      </c>
      <c r="D14" s="135"/>
      <c r="E14" s="146"/>
      <c r="F14" s="146"/>
      <c r="G14" s="147"/>
      <c r="H14" s="148"/>
      <c r="I14" s="148"/>
      <c r="J14" s="148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</row>
    <row r="15" s="120" customFormat="true" ht="24.95" customHeight="true" spans="2:40">
      <c r="B15" s="131">
        <v>2.1</v>
      </c>
      <c r="C15" s="132" t="s">
        <v>715</v>
      </c>
      <c r="D15" s="133"/>
      <c r="E15" s="146"/>
      <c r="F15" s="146"/>
      <c r="G15" s="147"/>
      <c r="H15" s="147"/>
      <c r="I15" s="147"/>
      <c r="J15" s="148"/>
      <c r="K15" s="152" t="e">
        <f>损益表!D18</f>
        <v>#REF!</v>
      </c>
      <c r="L15" s="152" t="e">
        <f>损益表!E18</f>
        <v>#REF!</v>
      </c>
      <c r="M15" s="152" t="e">
        <f>损益表!F18</f>
        <v>#REF!</v>
      </c>
      <c r="N15" s="152" t="e">
        <f>损益表!G18</f>
        <v>#REF!</v>
      </c>
      <c r="O15" s="152" t="e">
        <f>损益表!H18</f>
        <v>#REF!</v>
      </c>
      <c r="P15" s="152" t="e">
        <f>损益表!I18</f>
        <v>#REF!</v>
      </c>
      <c r="Q15" s="152" t="e">
        <f>损益表!J18</f>
        <v>#REF!</v>
      </c>
      <c r="R15" s="152" t="e">
        <f>损益表!K18</f>
        <v>#REF!</v>
      </c>
      <c r="S15" s="152" t="e">
        <f>损益表!L18</f>
        <v>#REF!</v>
      </c>
      <c r="T15" s="152" t="e">
        <f>IF(损益表!M18&lt;0,0,损益表!M18)</f>
        <v>#REF!</v>
      </c>
      <c r="U15" s="152" t="e">
        <f>IF(损益表!N18&lt;0,0,损益表!N18)</f>
        <v>#REF!</v>
      </c>
      <c r="V15" s="152" t="e">
        <f>IF(损益表!O18&lt;0,0,损益表!O18)</f>
        <v>#REF!</v>
      </c>
      <c r="W15" s="152" t="e">
        <f>IF(损益表!P18&lt;0,0,损益表!P18)</f>
        <v>#REF!</v>
      </c>
      <c r="X15" s="152" t="e">
        <f>IF(损益表!Q18&lt;0,0,损益表!Q18)</f>
        <v>#REF!</v>
      </c>
      <c r="Y15" s="152" t="e">
        <f>IF(损益表!R18&lt;0,0,损益表!R18)</f>
        <v>#REF!</v>
      </c>
      <c r="Z15" s="152" t="e">
        <f>IF(损益表!S18&lt;0,0,损益表!S18)</f>
        <v>#REF!</v>
      </c>
      <c r="AA15" s="152" t="e">
        <f>IF(损益表!T18&lt;0,0,损益表!T18)</f>
        <v>#REF!</v>
      </c>
      <c r="AB15" s="152" t="e">
        <f>IF(损益表!U18&lt;0,0,损益表!U18)</f>
        <v>#REF!</v>
      </c>
      <c r="AC15" s="152" t="e">
        <f>IF(损益表!V18&lt;0,0,损益表!V18)</f>
        <v>#REF!</v>
      </c>
      <c r="AD15" s="152" t="e">
        <f>IF(损益表!W18&lt;0,0,损益表!W18)</f>
        <v>#REF!</v>
      </c>
      <c r="AE15" s="132" t="e">
        <f>IF(损益表!X18&lt;0,0,损益表!X18)</f>
        <v>#REF!</v>
      </c>
      <c r="AF15" s="132" t="e">
        <f>IF(损益表!Y18&lt;0,0,损益表!Y18)</f>
        <v>#REF!</v>
      </c>
      <c r="AG15" s="132" t="e">
        <f>IF(损益表!Z18&lt;0,0,损益表!Z18)</f>
        <v>#REF!</v>
      </c>
      <c r="AH15" s="132" t="e">
        <f>IF(损益表!AA18&lt;0,0,损益表!AA18)</f>
        <v>#REF!</v>
      </c>
      <c r="AI15" s="132" t="e">
        <f>IF(损益表!AB18&lt;0,0,损益表!AB18)</f>
        <v>#REF!</v>
      </c>
      <c r="AJ15" s="132" t="e">
        <f>IF(损益表!AC18&lt;0,0,损益表!AC18)</f>
        <v>#REF!</v>
      </c>
      <c r="AK15" s="132" t="e">
        <f>IF(损益表!AD18&lt;0,0,损益表!AD18)</f>
        <v>#REF!</v>
      </c>
      <c r="AL15" s="132" t="e">
        <f>IF(损益表!AE18&lt;0,0,损益表!AE18)</f>
        <v>#REF!</v>
      </c>
      <c r="AM15" s="132" t="e">
        <f>IF(损益表!AF18&lt;0,0,损益表!AF18)</f>
        <v>#REF!</v>
      </c>
      <c r="AN15" s="132" t="e">
        <f>IF(损益表!AG18&lt;0,0,损益表!AG18)</f>
        <v>#REF!</v>
      </c>
    </row>
    <row r="16" s="120" customFormat="true" ht="24.95" customHeight="true" spans="2:40">
      <c r="B16" s="131">
        <v>2.2</v>
      </c>
      <c r="C16" s="132" t="s">
        <v>801</v>
      </c>
      <c r="D16" s="133"/>
      <c r="E16" s="146"/>
      <c r="F16" s="146"/>
      <c r="G16" s="147"/>
      <c r="H16" s="147"/>
      <c r="I16" s="147"/>
      <c r="J16" s="147"/>
      <c r="K16" s="152" t="e">
        <f>年成本分析!D12</f>
        <v>#REF!</v>
      </c>
      <c r="L16" s="152" t="e">
        <f>年成本分析!E12</f>
        <v>#REF!</v>
      </c>
      <c r="M16" s="152" t="e">
        <f>年成本分析!F12</f>
        <v>#REF!</v>
      </c>
      <c r="N16" s="152" t="e">
        <f>年成本分析!G12</f>
        <v>#REF!</v>
      </c>
      <c r="O16" s="152" t="e">
        <f>年成本分析!H12</f>
        <v>#REF!</v>
      </c>
      <c r="P16" s="152" t="e">
        <f>年成本分析!I12</f>
        <v>#REF!</v>
      </c>
      <c r="Q16" s="152" t="e">
        <f>年成本分析!J12</f>
        <v>#REF!</v>
      </c>
      <c r="R16" s="152" t="e">
        <f>年成本分析!K12</f>
        <v>#REF!</v>
      </c>
      <c r="S16" s="152" t="e">
        <f>年成本分析!L12</f>
        <v>#REF!</v>
      </c>
      <c r="T16" s="152" t="e">
        <f>年成本分析!M12</f>
        <v>#REF!</v>
      </c>
      <c r="U16" s="152" t="e">
        <f>年成本分析!N12</f>
        <v>#REF!</v>
      </c>
      <c r="V16" s="152" t="e">
        <f>年成本分析!O12</f>
        <v>#REF!</v>
      </c>
      <c r="W16" s="152" t="e">
        <f>年成本分析!P12</f>
        <v>#REF!</v>
      </c>
      <c r="X16" s="152" t="e">
        <f>年成本分析!Q12</f>
        <v>#REF!</v>
      </c>
      <c r="Y16" s="152" t="e">
        <f>年成本分析!R12</f>
        <v>#REF!</v>
      </c>
      <c r="Z16" s="152" t="e">
        <f>年成本分析!S12</f>
        <v>#REF!</v>
      </c>
      <c r="AA16" s="152" t="e">
        <f>年成本分析!T12</f>
        <v>#REF!</v>
      </c>
      <c r="AB16" s="152" t="e">
        <f>年成本分析!U12</f>
        <v>#REF!</v>
      </c>
      <c r="AC16" s="152" t="e">
        <f>年成本分析!V12</f>
        <v>#REF!</v>
      </c>
      <c r="AD16" s="152" t="e">
        <f>年成本分析!W12</f>
        <v>#REF!</v>
      </c>
      <c r="AE16" s="152" t="e">
        <f>年成本分析!X12</f>
        <v>#REF!</v>
      </c>
      <c r="AF16" s="152" t="e">
        <f>年成本分析!Y12</f>
        <v>#REF!</v>
      </c>
      <c r="AG16" s="152" t="e">
        <f>年成本分析!Z12</f>
        <v>#REF!</v>
      </c>
      <c r="AH16" s="152" t="e">
        <f>年成本分析!AA12</f>
        <v>#REF!</v>
      </c>
      <c r="AI16" s="152" t="e">
        <f>年成本分析!AB12</f>
        <v>#REF!</v>
      </c>
      <c r="AJ16" s="152">
        <f>年成本分析!AC12</f>
        <v>0</v>
      </c>
      <c r="AK16" s="152">
        <f>年成本分析!AD12</f>
        <v>0</v>
      </c>
      <c r="AL16" s="152">
        <f>年成本分析!AE12</f>
        <v>0</v>
      </c>
      <c r="AM16" s="152">
        <f>年成本分析!AF12</f>
        <v>0</v>
      </c>
      <c r="AN16" s="152">
        <f>年成本分析!AG12</f>
        <v>0</v>
      </c>
    </row>
    <row r="17" s="120" customFormat="true" ht="24.95" customHeight="true" spans="2:40">
      <c r="B17" s="131">
        <v>2.3</v>
      </c>
      <c r="C17" s="132" t="s">
        <v>802</v>
      </c>
      <c r="D17" s="133"/>
      <c r="E17" s="146"/>
      <c r="F17" s="146"/>
      <c r="G17" s="147"/>
      <c r="H17" s="147"/>
      <c r="I17" s="147"/>
      <c r="J17" s="147"/>
      <c r="K17" s="152" t="e">
        <f>年成本分析!D15</f>
        <v>#REF!</v>
      </c>
      <c r="L17" s="152" t="e">
        <f>年成本分析!E15</f>
        <v>#REF!</v>
      </c>
      <c r="M17" s="152" t="e">
        <f>年成本分析!F15</f>
        <v>#REF!</v>
      </c>
      <c r="N17" s="152" t="e">
        <f>年成本分析!G15</f>
        <v>#REF!</v>
      </c>
      <c r="O17" s="152" t="e">
        <f>年成本分析!H15</f>
        <v>#REF!</v>
      </c>
      <c r="P17" s="152" t="e">
        <f>年成本分析!I15</f>
        <v>#REF!</v>
      </c>
      <c r="Q17" s="152" t="e">
        <f>年成本分析!J15</f>
        <v>#REF!</v>
      </c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</row>
    <row r="18" s="120" customFormat="true" ht="24.95" customHeight="true" spans="2:40">
      <c r="B18" s="131">
        <v>2.4</v>
      </c>
      <c r="C18" s="132" t="s">
        <v>803</v>
      </c>
      <c r="D18" s="133"/>
      <c r="E18" s="146"/>
      <c r="F18" s="146"/>
      <c r="G18" s="147"/>
      <c r="H18" s="147"/>
      <c r="I18" s="147"/>
      <c r="J18" s="147"/>
      <c r="K18" s="152">
        <f>资金来源运用!J12</f>
        <v>0</v>
      </c>
      <c r="L18" s="152">
        <f>资金来源运用!K12-资金来源运用!K27</f>
        <v>0</v>
      </c>
      <c r="M18" s="152">
        <f>资金来源运用!L12-资金来源运用!L27</f>
        <v>0</v>
      </c>
      <c r="N18" s="152">
        <f>资金来源运用!M12-资金来源运用!M27</f>
        <v>0</v>
      </c>
      <c r="O18" s="152">
        <f>资金来源运用!N12-资金来源运用!N27</f>
        <v>0</v>
      </c>
      <c r="P18" s="152">
        <f>资金来源运用!O12-资金来源运用!O27</f>
        <v>0</v>
      </c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</row>
    <row r="19" s="120" customFormat="true" ht="24.75" customHeight="true" spans="2:40">
      <c r="B19" s="128"/>
      <c r="C19" s="12" t="s">
        <v>804</v>
      </c>
      <c r="D19" s="136"/>
      <c r="E19" s="146">
        <f>E15+E16+E17+E18</f>
        <v>0</v>
      </c>
      <c r="F19" s="146">
        <f t="shared" ref="F19:AN19" si="9">SUM(F15:F18)</f>
        <v>0</v>
      </c>
      <c r="G19" s="147">
        <f t="shared" si="9"/>
        <v>0</v>
      </c>
      <c r="H19" s="147">
        <f t="shared" si="9"/>
        <v>0</v>
      </c>
      <c r="I19" s="147">
        <f t="shared" si="9"/>
        <v>0</v>
      </c>
      <c r="J19" s="147">
        <f t="shared" si="9"/>
        <v>0</v>
      </c>
      <c r="K19" s="152" t="e">
        <f t="shared" si="9"/>
        <v>#REF!</v>
      </c>
      <c r="L19" s="152" t="e">
        <f t="shared" si="9"/>
        <v>#REF!</v>
      </c>
      <c r="M19" s="152" t="e">
        <f t="shared" si="9"/>
        <v>#REF!</v>
      </c>
      <c r="N19" s="152" t="e">
        <f t="shared" si="9"/>
        <v>#REF!</v>
      </c>
      <c r="O19" s="152" t="e">
        <f t="shared" si="9"/>
        <v>#REF!</v>
      </c>
      <c r="P19" s="152" t="e">
        <f t="shared" si="9"/>
        <v>#REF!</v>
      </c>
      <c r="Q19" s="152" t="e">
        <f t="shared" si="9"/>
        <v>#REF!</v>
      </c>
      <c r="R19" s="152" t="e">
        <f t="shared" si="9"/>
        <v>#REF!</v>
      </c>
      <c r="S19" s="152" t="e">
        <f t="shared" si="9"/>
        <v>#REF!</v>
      </c>
      <c r="T19" s="152" t="e">
        <f t="shared" si="9"/>
        <v>#REF!</v>
      </c>
      <c r="U19" s="152" t="e">
        <f t="shared" si="9"/>
        <v>#REF!</v>
      </c>
      <c r="V19" s="152" t="e">
        <f t="shared" si="9"/>
        <v>#REF!</v>
      </c>
      <c r="W19" s="152" t="e">
        <f t="shared" si="9"/>
        <v>#REF!</v>
      </c>
      <c r="X19" s="152" t="e">
        <f t="shared" si="9"/>
        <v>#REF!</v>
      </c>
      <c r="Y19" s="152" t="e">
        <f t="shared" si="9"/>
        <v>#REF!</v>
      </c>
      <c r="Z19" s="152" t="e">
        <f t="shared" si="9"/>
        <v>#REF!</v>
      </c>
      <c r="AA19" s="152" t="e">
        <f t="shared" si="9"/>
        <v>#REF!</v>
      </c>
      <c r="AB19" s="152" t="e">
        <f t="shared" si="9"/>
        <v>#REF!</v>
      </c>
      <c r="AC19" s="152" t="e">
        <f t="shared" si="9"/>
        <v>#REF!</v>
      </c>
      <c r="AD19" s="152" t="e">
        <f t="shared" si="9"/>
        <v>#REF!</v>
      </c>
      <c r="AE19" s="152" t="e">
        <f t="shared" si="9"/>
        <v>#REF!</v>
      </c>
      <c r="AF19" s="152" t="e">
        <f t="shared" si="9"/>
        <v>#REF!</v>
      </c>
      <c r="AG19" s="152" t="e">
        <f t="shared" si="9"/>
        <v>#REF!</v>
      </c>
      <c r="AH19" s="152" t="e">
        <f t="shared" si="9"/>
        <v>#REF!</v>
      </c>
      <c r="AI19" s="152" t="e">
        <f t="shared" si="9"/>
        <v>#REF!</v>
      </c>
      <c r="AJ19" s="152" t="e">
        <f t="shared" si="9"/>
        <v>#REF!</v>
      </c>
      <c r="AK19" s="152" t="e">
        <f t="shared" si="9"/>
        <v>#REF!</v>
      </c>
      <c r="AL19" s="152" t="e">
        <f t="shared" si="9"/>
        <v>#REF!</v>
      </c>
      <c r="AM19" s="152" t="e">
        <f t="shared" si="9"/>
        <v>#REF!</v>
      </c>
      <c r="AN19" s="152" t="e">
        <f t="shared" si="9"/>
        <v>#REF!</v>
      </c>
    </row>
    <row r="20" hidden="true" spans="2:40">
      <c r="B20" s="137"/>
      <c r="C20" s="138"/>
      <c r="D20" s="138"/>
      <c r="E20" s="149"/>
      <c r="F20" s="149"/>
      <c r="G20" s="149"/>
      <c r="H20" s="149"/>
      <c r="I20" s="149"/>
      <c r="J20" s="149"/>
      <c r="K20" s="149" t="e">
        <f t="shared" ref="K20:AN20" si="10">IF(K6&gt;0,1,0)</f>
        <v>#REF!</v>
      </c>
      <c r="L20" s="149" t="e">
        <f t="shared" si="10"/>
        <v>#REF!</v>
      </c>
      <c r="M20" s="149" t="e">
        <f t="shared" si="10"/>
        <v>#REF!</v>
      </c>
      <c r="N20" s="149" t="e">
        <f t="shared" si="10"/>
        <v>#REF!</v>
      </c>
      <c r="O20" s="149" t="e">
        <f t="shared" si="10"/>
        <v>#REF!</v>
      </c>
      <c r="P20" s="149" t="e">
        <f t="shared" si="10"/>
        <v>#REF!</v>
      </c>
      <c r="Q20" s="149" t="e">
        <f t="shared" si="10"/>
        <v>#REF!</v>
      </c>
      <c r="R20" s="149" t="e">
        <f t="shared" si="10"/>
        <v>#REF!</v>
      </c>
      <c r="S20" s="149" t="e">
        <f t="shared" si="10"/>
        <v>#REF!</v>
      </c>
      <c r="T20" s="149" t="e">
        <f t="shared" si="10"/>
        <v>#REF!</v>
      </c>
      <c r="U20" s="149" t="e">
        <f t="shared" si="10"/>
        <v>#REF!</v>
      </c>
      <c r="V20" s="149" t="e">
        <f t="shared" si="10"/>
        <v>#REF!</v>
      </c>
      <c r="W20" s="149" t="e">
        <f t="shared" si="10"/>
        <v>#REF!</v>
      </c>
      <c r="X20" s="149" t="e">
        <f t="shared" si="10"/>
        <v>#REF!</v>
      </c>
      <c r="Y20" s="149" t="e">
        <f t="shared" si="10"/>
        <v>#REF!</v>
      </c>
      <c r="Z20" s="149" t="e">
        <f t="shared" si="10"/>
        <v>#REF!</v>
      </c>
      <c r="AA20" s="149" t="e">
        <f t="shared" si="10"/>
        <v>#REF!</v>
      </c>
      <c r="AB20" s="149" t="e">
        <f t="shared" si="10"/>
        <v>#REF!</v>
      </c>
      <c r="AC20" s="149" t="e">
        <f t="shared" si="10"/>
        <v>#REF!</v>
      </c>
      <c r="AD20" s="149" t="e">
        <f t="shared" si="10"/>
        <v>#REF!</v>
      </c>
      <c r="AE20" s="149" t="e">
        <f t="shared" si="10"/>
        <v>#REF!</v>
      </c>
      <c r="AF20" s="149" t="e">
        <f t="shared" si="10"/>
        <v>#REF!</v>
      </c>
      <c r="AG20" s="149" t="e">
        <f t="shared" si="10"/>
        <v>#REF!</v>
      </c>
      <c r="AH20" s="149" t="e">
        <f t="shared" si="10"/>
        <v>#REF!</v>
      </c>
      <c r="AI20" s="149" t="e">
        <f t="shared" si="10"/>
        <v>#REF!</v>
      </c>
      <c r="AJ20" s="149" t="e">
        <f t="shared" si="10"/>
        <v>#REF!</v>
      </c>
      <c r="AK20" s="149" t="e">
        <f t="shared" si="10"/>
        <v>#REF!</v>
      </c>
      <c r="AL20" s="149" t="e">
        <f t="shared" si="10"/>
        <v>#REF!</v>
      </c>
      <c r="AM20" s="149" t="e">
        <f t="shared" si="10"/>
        <v>#REF!</v>
      </c>
      <c r="AN20" s="149" t="e">
        <f t="shared" si="10"/>
        <v>#REF!</v>
      </c>
    </row>
    <row r="21" hidden="true" spans="2:40">
      <c r="B21" s="137"/>
      <c r="C21" s="139"/>
      <c r="D21" s="140"/>
      <c r="E21" s="149"/>
      <c r="F21" s="149"/>
      <c r="G21" s="149"/>
      <c r="H21" s="150"/>
      <c r="I21" s="153"/>
      <c r="J21" s="154"/>
      <c r="K21" s="149" t="e">
        <f t="shared" ref="K21:AN21" si="11">IF(K20+L20=1,K12/(K32+K6),0)</f>
        <v>#REF!</v>
      </c>
      <c r="L21" s="149" t="e">
        <f t="shared" si="11"/>
        <v>#REF!</v>
      </c>
      <c r="M21" s="149" t="e">
        <f t="shared" si="11"/>
        <v>#REF!</v>
      </c>
      <c r="N21" s="149" t="e">
        <f t="shared" si="11"/>
        <v>#REF!</v>
      </c>
      <c r="O21" s="149" t="e">
        <f t="shared" si="11"/>
        <v>#REF!</v>
      </c>
      <c r="P21" s="149" t="e">
        <f t="shared" si="11"/>
        <v>#REF!</v>
      </c>
      <c r="Q21" s="149" t="e">
        <f t="shared" si="11"/>
        <v>#REF!</v>
      </c>
      <c r="R21" s="149" t="e">
        <f t="shared" si="11"/>
        <v>#REF!</v>
      </c>
      <c r="S21" s="149" t="e">
        <f t="shared" si="11"/>
        <v>#REF!</v>
      </c>
      <c r="T21" s="149" t="e">
        <f t="shared" si="11"/>
        <v>#REF!</v>
      </c>
      <c r="U21" s="149" t="e">
        <f t="shared" si="11"/>
        <v>#REF!</v>
      </c>
      <c r="V21" s="149" t="e">
        <f t="shared" si="11"/>
        <v>#REF!</v>
      </c>
      <c r="W21" s="149" t="e">
        <f t="shared" si="11"/>
        <v>#REF!</v>
      </c>
      <c r="X21" s="149" t="e">
        <f t="shared" si="11"/>
        <v>#REF!</v>
      </c>
      <c r="Y21" s="149" t="e">
        <f t="shared" si="11"/>
        <v>#REF!</v>
      </c>
      <c r="Z21" s="149" t="e">
        <f t="shared" si="11"/>
        <v>#REF!</v>
      </c>
      <c r="AA21" s="149" t="e">
        <f t="shared" si="11"/>
        <v>#REF!</v>
      </c>
      <c r="AB21" s="149" t="e">
        <f t="shared" si="11"/>
        <v>#REF!</v>
      </c>
      <c r="AC21" s="149" t="e">
        <f t="shared" si="11"/>
        <v>#REF!</v>
      </c>
      <c r="AD21" s="149" t="e">
        <f t="shared" si="11"/>
        <v>#REF!</v>
      </c>
      <c r="AE21" s="149" t="e">
        <f t="shared" si="11"/>
        <v>#REF!</v>
      </c>
      <c r="AF21" s="149" t="e">
        <f t="shared" si="11"/>
        <v>#REF!</v>
      </c>
      <c r="AG21" s="149" t="e">
        <f t="shared" si="11"/>
        <v>#REF!</v>
      </c>
      <c r="AH21" s="149" t="e">
        <f t="shared" si="11"/>
        <v>#REF!</v>
      </c>
      <c r="AI21" s="149" t="e">
        <f t="shared" si="11"/>
        <v>#REF!</v>
      </c>
      <c r="AJ21" s="149" t="e">
        <f t="shared" si="11"/>
        <v>#REF!</v>
      </c>
      <c r="AK21" s="149" t="e">
        <f t="shared" si="11"/>
        <v>#REF!</v>
      </c>
      <c r="AL21" s="149" t="e">
        <f t="shared" si="11"/>
        <v>#REF!</v>
      </c>
      <c r="AM21" s="149" t="e">
        <f t="shared" si="11"/>
        <v>#REF!</v>
      </c>
      <c r="AN21" s="149" t="e">
        <f t="shared" si="11"/>
        <v>#REF!</v>
      </c>
    </row>
    <row r="22" ht="21" customHeight="true" spans="2:42">
      <c r="B22" s="131"/>
      <c r="C22" s="132" t="s">
        <v>805</v>
      </c>
      <c r="D22" s="133"/>
      <c r="E22" s="146"/>
      <c r="F22" s="146"/>
      <c r="G22" s="147"/>
      <c r="H22" s="147"/>
      <c r="I22" s="147"/>
      <c r="J22" s="147" t="e">
        <f>SUM(K20:AN21)-1+'总表 (2)'!D42</f>
        <v>#REF!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56"/>
      <c r="AP22" s="158" t="e">
        <f>J22</f>
        <v>#REF!</v>
      </c>
    </row>
    <row r="23" hidden="true" spans="2:40">
      <c r="B23" s="141"/>
      <c r="C23" s="138"/>
      <c r="D23" s="138"/>
      <c r="E23" s="149"/>
      <c r="F23" s="149"/>
      <c r="G23" s="149"/>
      <c r="H23" s="149"/>
      <c r="I23" s="153" t="e">
        <f>ROUND(SUM(K20:AD21)+'总表 (2)'!D42-1,2)</f>
        <v>#REF!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</row>
    <row r="24" hidden="true" spans="2:40">
      <c r="B24" s="141"/>
      <c r="C24" s="138"/>
      <c r="D24" s="13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</row>
    <row r="25" hidden="true" spans="2:40">
      <c r="B25" s="141"/>
      <c r="C25" s="138"/>
      <c r="D25" s="138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</row>
    <row r="26" hidden="true" spans="2:41">
      <c r="B26" s="141"/>
      <c r="C26" s="138"/>
      <c r="D26" s="138"/>
      <c r="E26" s="149"/>
      <c r="F26" s="149"/>
      <c r="G26" s="149"/>
      <c r="H26" s="149"/>
      <c r="I26" s="149"/>
      <c r="J26" s="149"/>
      <c r="K26" s="149" t="e">
        <f t="shared" ref="K26:V26" si="12">IF(K15=0,0,IF(K13+K12-K16-K17&gt;=0,K13+K12-K16-K17,0))</f>
        <v>#REF!</v>
      </c>
      <c r="L26" s="149" t="e">
        <f t="shared" si="12"/>
        <v>#REF!</v>
      </c>
      <c r="M26" s="149" t="e">
        <f t="shared" si="12"/>
        <v>#REF!</v>
      </c>
      <c r="N26" s="149" t="e">
        <f t="shared" si="12"/>
        <v>#REF!</v>
      </c>
      <c r="O26" s="149" t="e">
        <f t="shared" si="12"/>
        <v>#REF!</v>
      </c>
      <c r="P26" s="149" t="e">
        <f t="shared" si="12"/>
        <v>#REF!</v>
      </c>
      <c r="Q26" s="149" t="e">
        <f t="shared" si="12"/>
        <v>#REF!</v>
      </c>
      <c r="R26" s="149" t="e">
        <f t="shared" si="12"/>
        <v>#REF!</v>
      </c>
      <c r="S26" s="149" t="e">
        <f t="shared" si="12"/>
        <v>#REF!</v>
      </c>
      <c r="T26" s="149" t="e">
        <f t="shared" si="12"/>
        <v>#REF!</v>
      </c>
      <c r="U26" s="149" t="e">
        <f t="shared" si="12"/>
        <v>#REF!</v>
      </c>
      <c r="V26" s="149" t="e">
        <f t="shared" si="12"/>
        <v>#REF!</v>
      </c>
      <c r="W26" s="149"/>
      <c r="X26" s="149"/>
      <c r="Y26" s="149"/>
      <c r="Z26" s="149" t="e">
        <f t="shared" ref="Z26:AN26" si="13">IF(Z15=0,0,IF(Z13+Z12-Z16-Z17&gt;=0,Z13+Z12-Z16-Z17,0))</f>
        <v>#REF!</v>
      </c>
      <c r="AA26" s="149" t="e">
        <f t="shared" si="13"/>
        <v>#REF!</v>
      </c>
      <c r="AB26" s="149" t="e">
        <f t="shared" si="13"/>
        <v>#REF!</v>
      </c>
      <c r="AC26" s="149" t="e">
        <f t="shared" si="13"/>
        <v>#REF!</v>
      </c>
      <c r="AD26" s="149" t="e">
        <f t="shared" si="13"/>
        <v>#REF!</v>
      </c>
      <c r="AE26" s="149" t="e">
        <f t="shared" si="13"/>
        <v>#REF!</v>
      </c>
      <c r="AF26" s="149" t="e">
        <f t="shared" si="13"/>
        <v>#REF!</v>
      </c>
      <c r="AG26" s="149" t="e">
        <f t="shared" si="13"/>
        <v>#REF!</v>
      </c>
      <c r="AH26" s="149" t="e">
        <f t="shared" si="13"/>
        <v>#REF!</v>
      </c>
      <c r="AI26" s="149" t="e">
        <f t="shared" si="13"/>
        <v>#REF!</v>
      </c>
      <c r="AJ26" s="149" t="e">
        <f t="shared" si="13"/>
        <v>#REF!</v>
      </c>
      <c r="AK26" s="149" t="e">
        <f t="shared" si="13"/>
        <v>#REF!</v>
      </c>
      <c r="AL26" s="149" t="e">
        <f t="shared" si="13"/>
        <v>#REF!</v>
      </c>
      <c r="AM26" s="149" t="e">
        <f t="shared" si="13"/>
        <v>#REF!</v>
      </c>
      <c r="AN26" s="149" t="e">
        <f t="shared" si="13"/>
        <v>#REF!</v>
      </c>
      <c r="AO26" s="159" t="e">
        <f>AN13+AN26</f>
        <v>#REF!</v>
      </c>
    </row>
    <row r="27" hidden="true" spans="2:40">
      <c r="B27" s="141"/>
      <c r="C27" s="138"/>
      <c r="D27" s="138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</row>
    <row r="28" hidden="true" spans="2:40">
      <c r="B28" s="141"/>
      <c r="C28" s="138"/>
      <c r="D28" s="13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</row>
    <row r="29" hidden="true" spans="2:40">
      <c r="B29" s="141"/>
      <c r="C29" s="138"/>
      <c r="D29" s="138"/>
      <c r="E29" s="149"/>
      <c r="F29" s="149"/>
      <c r="G29" s="149"/>
      <c r="H29" s="149"/>
      <c r="I29" s="149"/>
      <c r="J29" s="149"/>
      <c r="K29" s="149"/>
      <c r="L29" s="149" t="e">
        <f>K6/6</f>
        <v>#REF!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</row>
    <row r="30" hidden="true" spans="2:40">
      <c r="B30" s="141"/>
      <c r="C30" s="138"/>
      <c r="D30" s="138"/>
      <c r="E30" s="149"/>
      <c r="F30" s="149"/>
      <c r="G30" s="149" t="e">
        <f>G6*$D$5+G9*$D$5/2</f>
        <v>#REF!</v>
      </c>
      <c r="H30" s="151" t="e">
        <f>H6*$D$5+H9*$D$5/2</f>
        <v>#REF!</v>
      </c>
      <c r="I30" s="151" t="e">
        <f>I6*$D$5+I9*$D$5/2</f>
        <v>#REF!</v>
      </c>
      <c r="J30" s="151" t="e">
        <f>J6*$D$5+J9*$D$5/2</f>
        <v>#REF!</v>
      </c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</row>
    <row r="31" hidden="true" spans="2:40">
      <c r="B31" s="141"/>
      <c r="C31" s="138"/>
      <c r="D31" s="13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</row>
    <row r="32" hidden="true" spans="2:40">
      <c r="B32" s="141"/>
      <c r="C32" s="138"/>
      <c r="D32" s="138"/>
      <c r="E32" s="149"/>
      <c r="F32" s="149"/>
      <c r="G32" s="149"/>
      <c r="H32" s="149"/>
      <c r="I32" s="149"/>
      <c r="J32" s="149"/>
      <c r="K32" s="153" t="e">
        <f>IF(K16+损益表!D14-损益表!D15-损益表!D16&gt;K6,K16+损益表!D14-损益表!D15-损益表!D16-K6,0)</f>
        <v>#REF!</v>
      </c>
      <c r="L32" s="153" t="e">
        <f>IF(L16+损益表!E14-损益表!E15-损益表!E16&gt;L6,L16+损益表!E14-损益表!E15-损益表!E16-L6,0)</f>
        <v>#REF!</v>
      </c>
      <c r="M32" s="153" t="e">
        <f>IF(M16+损益表!F14-损益表!F15-损益表!F16&gt;M6,M16+损益表!F14-损益表!F15-损益表!F16-M6,0)</f>
        <v>#REF!</v>
      </c>
      <c r="N32" s="153" t="e">
        <f>IF(N16+损益表!G14-损益表!G15-损益表!G16&gt;N6,N16+损益表!G14-损益表!G15-损益表!G16-N6,0)</f>
        <v>#REF!</v>
      </c>
      <c r="O32" s="153" t="e">
        <f>IF(O16+损益表!H14-损益表!H15-损益表!H16&gt;O6,O16+损益表!H14-损益表!H15-损益表!H16-O6,0)</f>
        <v>#REF!</v>
      </c>
      <c r="P32" s="153" t="e">
        <f>IF(P16+损益表!I14-损益表!I15-损益表!I16&gt;P6,P16+损益表!I14-损益表!I15-损益表!I16-P6,0)</f>
        <v>#REF!</v>
      </c>
      <c r="Q32" s="153" t="e">
        <f>IF(Q16+损益表!J14-损益表!J15-损益表!J16&gt;Q6,Q16+损益表!J14-损益表!J15-损益表!J16-Q6,0)</f>
        <v>#REF!</v>
      </c>
      <c r="R32" s="153" t="e">
        <f>IF(R16+损益表!K14-损益表!K15-损益表!K16&gt;R6,R16+损益表!K14-损益表!K15-损益表!K16-R6,0)</f>
        <v>#REF!</v>
      </c>
      <c r="S32" s="153" t="e">
        <f>IF(S16+损益表!L14-损益表!L15-损益表!L16&gt;S6,S16+损益表!L14-损益表!L15-损益表!L16-S6,0)</f>
        <v>#REF!</v>
      </c>
      <c r="T32" s="153" t="e">
        <f>IF(T16+损益表!M14-损益表!M15-损益表!M16&gt;T6,T16+损益表!M14-损益表!M15-损益表!M16-T6,0)</f>
        <v>#REF!</v>
      </c>
      <c r="U32" s="153" t="e">
        <f>IF(U16+损益表!N14-损益表!N15-损益表!N16&gt;U6,U16+损益表!N14-损益表!N15-损益表!N16-U6,0)</f>
        <v>#REF!</v>
      </c>
      <c r="V32" s="153" t="e">
        <f>IF(V16+损益表!O14-损益表!O15-损益表!O16&gt;V6,V16+损益表!O14-损益表!O15-损益表!O16-V6,0)</f>
        <v>#REF!</v>
      </c>
      <c r="W32" s="153" t="e">
        <f>IF(W16+损益表!P14-损益表!P15-损益表!P16&gt;W6,W16+损益表!P14-损益表!P15-损益表!P16-W6,0)</f>
        <v>#REF!</v>
      </c>
      <c r="X32" s="153" t="e">
        <f>IF(X16+损益表!Q14-损益表!Q15-损益表!Q16&gt;X6,X16+损益表!Q14-损益表!Q15-损益表!Q16-X6,0)</f>
        <v>#REF!</v>
      </c>
      <c r="Y32" s="153" t="e">
        <f>IF(Y16+损益表!R14-损益表!R15-损益表!R16&gt;Y6,Y16+损益表!R14-损益表!R15-损益表!R16-Y6,0)</f>
        <v>#REF!</v>
      </c>
      <c r="Z32" s="153" t="e">
        <f>IF(Z16+损益表!S14-损益表!S15-损益表!S16&gt;Z6,Z16+损益表!S14-损益表!S15-损益表!S16-Z6,0)</f>
        <v>#REF!</v>
      </c>
      <c r="AA32" s="153" t="e">
        <f>IF(AA16+损益表!T14-损益表!T15-损益表!T16&gt;AA6,AA16+损益表!T14-损益表!T15-损益表!T16-AA6,0)</f>
        <v>#REF!</v>
      </c>
      <c r="AB32" s="153" t="e">
        <f>IF(AB16+损益表!U14-损益表!U15-损益表!U16&gt;AB6,AB16+损益表!U14-损益表!U15-损益表!U16-AB6,0)</f>
        <v>#REF!</v>
      </c>
      <c r="AC32" s="153" t="e">
        <f>IF(AC16+损益表!V14-损益表!V15-损益表!V16&gt;AC6,AC16+损益表!V14-损益表!V15-损益表!V16-AC6,0)</f>
        <v>#REF!</v>
      </c>
      <c r="AD32" s="153" t="e">
        <f>IF(AD16+损益表!W14-损益表!W15-损益表!W16&gt;AD6,AD16+损益表!W14-损益表!W15-损益表!W16-AD6,0)</f>
        <v>#REF!</v>
      </c>
      <c r="AE32" s="153" t="e">
        <f>IF(AE16+损益表!X14-损益表!X15-损益表!X16&gt;AE6,AE16+损益表!X14-损益表!X15-损益表!X16-AE6,0)</f>
        <v>#REF!</v>
      </c>
      <c r="AF32" s="153" t="e">
        <f>IF(AF16+损益表!Y14-损益表!Y15-损益表!Y16&gt;AF6,AF16+损益表!Y14-损益表!Y15-损益表!Y16-AF6,0)</f>
        <v>#REF!</v>
      </c>
      <c r="AG32" s="153" t="e">
        <f>IF(AG16+损益表!Z14-损益表!Z15-损益表!Z16&gt;AG6,AG16+损益表!Z14-损益表!Z15-损益表!Z16-AG6,0)</f>
        <v>#REF!</v>
      </c>
      <c r="AH32" s="153" t="e">
        <f>IF(AH16+损益表!AA14-损益表!AA15-损益表!AA16&gt;AH6,AH16+损益表!AA14-损益表!AA15-损益表!AA16-AH6,0)</f>
        <v>#REF!</v>
      </c>
      <c r="AI32" s="153" t="e">
        <f>IF(AI16+损益表!AB14-损益表!AB15-损益表!AB16&gt;AI6,AI16+损益表!AB14-损益表!AB15-损益表!AB16-AI6,0)</f>
        <v>#REF!</v>
      </c>
      <c r="AJ32" s="153" t="e">
        <f>IF(AJ16+损益表!AC14-损益表!AC15-损益表!AC16&gt;AJ6,AJ16+损益表!AC14-损益表!AC15-损益表!AC16-AJ6,0)</f>
        <v>#REF!</v>
      </c>
      <c r="AK32" s="153" t="e">
        <f>IF(AK16+损益表!AD14-损益表!AD15-损益表!AD16&gt;AK6,AK16+损益表!AD14-损益表!AD15-损益表!AD16-AK6,0)</f>
        <v>#REF!</v>
      </c>
      <c r="AL32" s="153" t="e">
        <f>IF(AL16+损益表!AE14-损益表!AE15-损益表!AE16&gt;AL6,AL16+损益表!AE14-损益表!AE15-损益表!AE16-AL6,0)</f>
        <v>#REF!</v>
      </c>
      <c r="AM32" s="153" t="e">
        <f>IF(AM16+损益表!AF14-损益表!AF15-损益表!AF16&gt;AM6,AM16+损益表!AF14-损益表!AF15-损益表!AF16-AM6,0)</f>
        <v>#REF!</v>
      </c>
      <c r="AN32" s="153" t="e">
        <f>IF(AN16+损益表!AG14-损益表!AG15-损益表!AG16&gt;AN6,AN16+损益表!AG14-损益表!AG15-损益表!AG16-AN6,0)</f>
        <v>#REF!</v>
      </c>
    </row>
    <row r="33" hidden="true" spans="2:40">
      <c r="B33" s="141"/>
      <c r="C33" s="138"/>
      <c r="D33" s="138"/>
      <c r="E33" s="149"/>
      <c r="F33" s="149"/>
      <c r="G33" s="149"/>
      <c r="H33" s="149"/>
      <c r="I33" s="149"/>
      <c r="J33" s="149"/>
      <c r="K33" s="153" t="e">
        <f>IF(损益表!D14&lt;0,0,MIN(K32,损益表!D14-损益表!D15-损益表!D16))</f>
        <v>#REF!</v>
      </c>
      <c r="L33" s="153" t="e">
        <f>IF(损益表!E14&lt;0,0,MIN(L32,损益表!E14-损益表!E15-损益表!E16))</f>
        <v>#REF!</v>
      </c>
      <c r="M33" s="153" t="e">
        <f>IF(损益表!F14&lt;0,0,MIN(M32,损益表!F14-损益表!F15-损益表!F16))</f>
        <v>#REF!</v>
      </c>
      <c r="N33" s="153" t="e">
        <f>IF(损益表!G14&lt;0,0,MIN(N32,损益表!G14-损益表!G15-损益表!G16))</f>
        <v>#REF!</v>
      </c>
      <c r="O33" s="153" t="e">
        <f>IF(损益表!H14&lt;0,0,MIN(O32,损益表!H14-损益表!H15-损益表!H16))</f>
        <v>#REF!</v>
      </c>
      <c r="P33" s="153" t="e">
        <f>IF(损益表!I14&lt;0,0,MIN(P32,损益表!I14-损益表!I15-损益表!I16))</f>
        <v>#REF!</v>
      </c>
      <c r="Q33" s="153" t="e">
        <f>IF(损益表!J14&lt;0,0,MIN(Q32,损益表!J14-损益表!J15-损益表!J16))</f>
        <v>#REF!</v>
      </c>
      <c r="R33" s="153" t="e">
        <f>IF(损益表!K14&lt;0,0,MIN(R32,损益表!K14-损益表!K15-损益表!K16))</f>
        <v>#REF!</v>
      </c>
      <c r="S33" s="153" t="e">
        <f>IF(损益表!L14&lt;0,0,MIN(S32,损益表!L14-损益表!L15-损益表!L16))</f>
        <v>#REF!</v>
      </c>
      <c r="T33" s="153" t="e">
        <f>IF(损益表!M14&lt;0,0,MIN(T32,损益表!M14-损益表!M15-损益表!M16))</f>
        <v>#REF!</v>
      </c>
      <c r="U33" s="153" t="e">
        <f>IF(损益表!N14&lt;0,0,MIN(U32,损益表!N14-损益表!N15-损益表!N16))</f>
        <v>#REF!</v>
      </c>
      <c r="V33" s="153" t="e">
        <f>IF(损益表!O14&lt;0,0,MIN(V32,损益表!O14-损益表!O15-损益表!O16))</f>
        <v>#REF!</v>
      </c>
      <c r="W33" s="153" t="e">
        <f>IF(损益表!P14&lt;0,0,MIN(W32,损益表!P14-损益表!P15-损益表!P16))</f>
        <v>#REF!</v>
      </c>
      <c r="X33" s="153" t="e">
        <f>IF(损益表!Q14&lt;0,0,MIN(X32,损益表!Q14-损益表!Q15-损益表!Q16))</f>
        <v>#REF!</v>
      </c>
      <c r="Y33" s="153" t="e">
        <f>IF(损益表!R14&lt;0,0,MIN(Y32,损益表!R14-损益表!R15-损益表!R16))</f>
        <v>#REF!</v>
      </c>
      <c r="Z33" s="153" t="e">
        <f>IF(损益表!S14&lt;0,0,MIN(Z32,损益表!S14-损益表!S15-损益表!S16))</f>
        <v>#REF!</v>
      </c>
      <c r="AA33" s="153" t="e">
        <f>IF(损益表!T14&lt;0,0,MIN(AA32,损益表!T14-损益表!T15-损益表!T16))</f>
        <v>#REF!</v>
      </c>
      <c r="AB33" s="153" t="e">
        <f>IF(损益表!U14&lt;0,0,MIN(AB32,损益表!U14-损益表!U15-损益表!U16))</f>
        <v>#REF!</v>
      </c>
      <c r="AC33" s="153" t="e">
        <f>IF(损益表!V14&lt;0,0,MIN(AC32,损益表!V14-损益表!V15-损益表!V16))</f>
        <v>#REF!</v>
      </c>
      <c r="AD33" s="153" t="e">
        <f>IF(损益表!W14&lt;0,0,MIN(AD32,损益表!W14-损益表!W15-损益表!W16))</f>
        <v>#REF!</v>
      </c>
      <c r="AE33" s="153" t="e">
        <f>IF(损益表!X14&lt;0,0,MIN(AE32,损益表!X14-损益表!X15-损益表!X16))</f>
        <v>#REF!</v>
      </c>
      <c r="AF33" s="153" t="e">
        <f>IF(损益表!Y14&lt;0,0,MIN(AF32,损益表!Y14-损益表!Y15-损益表!Y16))</f>
        <v>#REF!</v>
      </c>
      <c r="AG33" s="153" t="e">
        <f>IF(损益表!Z14&lt;0,0,MIN(AG32,损益表!Z14-损益表!Z15-损益表!Z16))</f>
        <v>#REF!</v>
      </c>
      <c r="AH33" s="153" t="e">
        <f>IF(损益表!AA14&lt;0,0,MIN(AH32,损益表!AA14-损益表!AA15-损益表!AA16))</f>
        <v>#REF!</v>
      </c>
      <c r="AI33" s="153" t="e">
        <f>IF(损益表!AB14&lt;0,0,MIN(AI32,损益表!AB14-损益表!AB15-损益表!AB16))</f>
        <v>#REF!</v>
      </c>
      <c r="AJ33" s="153" t="e">
        <f>IF(损益表!AC14&lt;0,0,MIN(AJ32,损益表!AC14-损益表!AC15-损益表!AC16))</f>
        <v>#REF!</v>
      </c>
      <c r="AK33" s="153" t="e">
        <f>IF(损益表!AD14&lt;0,0,MIN(AK32,损益表!AD14-损益表!AD15-损益表!AD16))</f>
        <v>#REF!</v>
      </c>
      <c r="AL33" s="153" t="e">
        <f>IF(损益表!AE14&lt;0,0,MIN(AL32,损益表!AE14-损益表!AE15-损益表!AE16))</f>
        <v>#REF!</v>
      </c>
      <c r="AM33" s="153" t="e">
        <f>IF(损益表!AF14&lt;0,0,MIN(AM32,损益表!AF14-损益表!AF15-损益表!AF16))</f>
        <v>#REF!</v>
      </c>
      <c r="AN33" s="153" t="e">
        <f>IF(损益表!AG14&lt;0,0,MIN(AN32,损益表!AG14-损益表!AG15-损益表!AG16))</f>
        <v>#REF!</v>
      </c>
    </row>
    <row r="34" hidden="true" spans="2:40">
      <c r="B34" s="141"/>
      <c r="C34" s="138"/>
      <c r="D34" s="13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</row>
    <row r="35" hidden="true" spans="2:40">
      <c r="B35" s="141"/>
      <c r="C35" s="138"/>
      <c r="D35" s="138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</row>
    <row r="36" s="120" customFormat="true" ht="24.95" customHeight="true" spans="2:43">
      <c r="B36" s="142" t="s">
        <v>806</v>
      </c>
      <c r="C36" s="132" t="s">
        <v>807</v>
      </c>
      <c r="D36" s="133"/>
      <c r="E36" s="146"/>
      <c r="F36" s="146"/>
      <c r="G36" s="147"/>
      <c r="H36" s="147"/>
      <c r="I36" s="147"/>
      <c r="J36" s="147"/>
      <c r="K36" s="152" t="e">
        <f>损益表!D39/财务计划!J36</f>
        <v>#REF!</v>
      </c>
      <c r="L36" s="152" t="e">
        <f>损益表!E39/财务计划!K36</f>
        <v>#REF!</v>
      </c>
      <c r="M36" s="152" t="e">
        <f>损益表!F39/财务计划!L36</f>
        <v>#REF!</v>
      </c>
      <c r="N36" s="152" t="e">
        <f>损益表!G39/财务计划!M36</f>
        <v>#REF!</v>
      </c>
      <c r="O36" s="152" t="e">
        <f>损益表!H39/财务计划!N36</f>
        <v>#REF!</v>
      </c>
      <c r="P36" s="152" t="e">
        <f>损益表!I39/财务计划!O36</f>
        <v>#REF!</v>
      </c>
      <c r="Q36" s="152" t="e">
        <f>损益表!J39/财务计划!P36</f>
        <v>#REF!</v>
      </c>
      <c r="R36" s="152" t="e">
        <f>损益表!K39/财务计划!Q36</f>
        <v>#REF!</v>
      </c>
      <c r="S36" s="152" t="e">
        <f>损益表!L39/财务计划!R36</f>
        <v>#REF!</v>
      </c>
      <c r="T36" s="152" t="e">
        <f>损益表!M39/财务计划!S36</f>
        <v>#REF!</v>
      </c>
      <c r="U36" s="152" t="e">
        <f>损益表!N39/财务计划!T36</f>
        <v>#REF!</v>
      </c>
      <c r="V36" s="152" t="e">
        <f>损益表!O39/财务计划!U36</f>
        <v>#REF!</v>
      </c>
      <c r="W36" s="152" t="e">
        <f>损益表!P39/财务计划!V36</f>
        <v>#REF!</v>
      </c>
      <c r="X36" s="152" t="e">
        <f>损益表!Q39/财务计划!W36</f>
        <v>#REF!</v>
      </c>
      <c r="Y36" s="152" t="e">
        <f>损益表!R39/财务计划!X36</f>
        <v>#REF!</v>
      </c>
      <c r="Z36" s="152" t="e">
        <f>损益表!S39/财务计划!Y36</f>
        <v>#REF!</v>
      </c>
      <c r="AA36" s="152" t="e">
        <f>损益表!T39/财务计划!Z36</f>
        <v>#REF!</v>
      </c>
      <c r="AB36" s="152" t="e">
        <f>损益表!U39/财务计划!AA36</f>
        <v>#REF!</v>
      </c>
      <c r="AC36" s="152" t="e">
        <f>损益表!V39/财务计划!AB36</f>
        <v>#REF!</v>
      </c>
      <c r="AD36" s="152" t="e">
        <f>损益表!W39/财务计划!AC36</f>
        <v>#REF!</v>
      </c>
      <c r="AE36" s="152" t="e">
        <f>损益表!X39/财务计划!AD36</f>
        <v>#REF!</v>
      </c>
      <c r="AF36" s="152" t="e">
        <f>损益表!Y39/财务计划!AE36</f>
        <v>#REF!</v>
      </c>
      <c r="AG36" s="152" t="e">
        <f>损益表!Z39/财务计划!AF36</f>
        <v>#REF!</v>
      </c>
      <c r="AH36" s="152" t="e">
        <f>损益表!AA39/财务计划!AG36</f>
        <v>#REF!</v>
      </c>
      <c r="AI36" s="152" t="e">
        <f>损益表!AB39/财务计划!AH36</f>
        <v>#REF!</v>
      </c>
      <c r="AJ36" s="152" t="e">
        <f>损益表!AC39/财务计划!AI36</f>
        <v>#DIV/0!</v>
      </c>
      <c r="AK36" s="152" t="e">
        <f>损益表!AD39/财务计划!AJ36</f>
        <v>#DIV/0!</v>
      </c>
      <c r="AL36" s="152" t="e">
        <f>损益表!AE39/财务计划!AK36</f>
        <v>#DIV/0!</v>
      </c>
      <c r="AM36" s="152" t="e">
        <f>损益表!AF39/财务计划!AL36</f>
        <v>#DIV/0!</v>
      </c>
      <c r="AN36" s="152" t="e">
        <f>损益表!AG39/财务计划!AM36</f>
        <v>#DIV/0!</v>
      </c>
      <c r="AP36" s="157"/>
      <c r="AQ36" s="157"/>
    </row>
    <row r="37" s="120" customFormat="true" ht="24.75" customHeight="true" spans="2:42">
      <c r="B37" s="143"/>
      <c r="C37" s="132" t="s">
        <v>808</v>
      </c>
      <c r="D37" s="144"/>
      <c r="E37" s="146"/>
      <c r="F37" s="146"/>
      <c r="G37" s="147"/>
      <c r="H37" s="147"/>
      <c r="I37" s="147"/>
      <c r="J37" s="147"/>
      <c r="K37" s="152" t="e">
        <f>(损益表!D39+借款偿还!K16+借款偿还!K17-损益表!D13)/(财务计划!J36+财务计划!J37)</f>
        <v>#REF!</v>
      </c>
      <c r="L37" s="152" t="e">
        <f>(损益表!E39+借款偿还!L16+借款偿还!L17-损益表!E13)/(财务计划!K36+财务计划!K37)</f>
        <v>#REF!</v>
      </c>
      <c r="M37" s="152" t="e">
        <f>(损益表!F39+借款偿还!M16+借款偿还!M17-损益表!F13)/(财务计划!L36+财务计划!L37)</f>
        <v>#REF!</v>
      </c>
      <c r="N37" s="152" t="e">
        <f>(损益表!G39+借款偿还!N16+借款偿还!N17-损益表!G13)/(财务计划!M36+财务计划!M37)</f>
        <v>#REF!</v>
      </c>
      <c r="O37" s="152" t="e">
        <f>(损益表!H39+借款偿还!O16+借款偿还!O17-损益表!H13)/(财务计划!N36+财务计划!N37)</f>
        <v>#REF!</v>
      </c>
      <c r="P37" s="152" t="e">
        <f>(损益表!I39+借款偿还!P16+借款偿还!P17-损益表!I13)/(财务计划!O36+财务计划!O37)</f>
        <v>#REF!</v>
      </c>
      <c r="Q37" s="152" t="e">
        <f>(损益表!J39+借款偿还!Q16+借款偿还!Q17-损益表!J13)/(财务计划!P36+财务计划!P37)</f>
        <v>#REF!</v>
      </c>
      <c r="R37" s="152" t="e">
        <f>(损益表!K39+借款偿还!R16+借款偿还!R17-损益表!K13)/(财务计划!Q36+财务计划!Q37)</f>
        <v>#REF!</v>
      </c>
      <c r="S37" s="152" t="e">
        <f>(损益表!L39+借款偿还!S16+借款偿还!S17-损益表!L13)/(财务计划!R36+财务计划!R37)</f>
        <v>#REF!</v>
      </c>
      <c r="T37" s="152" t="e">
        <f>(损益表!M39+借款偿还!T16+借款偿还!T17-损益表!M13)/(财务计划!S36+财务计划!S37)</f>
        <v>#REF!</v>
      </c>
      <c r="U37" s="152" t="e">
        <f>(损益表!N39+借款偿还!U16+借款偿还!U17-损益表!N13)/(财务计划!T36+财务计划!T37)</f>
        <v>#REF!</v>
      </c>
      <c r="V37" s="152" t="e">
        <f>(损益表!O39+借款偿还!V16+借款偿还!V17-损益表!O13)/(财务计划!U36+财务计划!U37)</f>
        <v>#REF!</v>
      </c>
      <c r="W37" s="152" t="e">
        <f>(损益表!P39+借款偿还!W16+借款偿还!W17-损益表!P13)/(财务计划!V36+财务计划!V37)</f>
        <v>#REF!</v>
      </c>
      <c r="X37" s="152" t="e">
        <f>(损益表!Q39+借款偿还!X16+借款偿还!X17-损益表!Q13)/(财务计划!W36+财务计划!W37)</f>
        <v>#REF!</v>
      </c>
      <c r="Y37" s="152" t="e">
        <f>(损益表!R39+借款偿还!Y16+借款偿还!Y17-损益表!R13)/(财务计划!X36+财务计划!X37)</f>
        <v>#REF!</v>
      </c>
      <c r="Z37" s="152" t="e">
        <f>(损益表!S39+借款偿还!Z16+借款偿还!Z17-损益表!S13)/(财务计划!Y36+财务计划!Y37)</f>
        <v>#REF!</v>
      </c>
      <c r="AA37" s="152" t="e">
        <f>(损益表!T39+借款偿还!AA16+借款偿还!AA17-损益表!T13)/(财务计划!Z36+财务计划!Z37)</f>
        <v>#REF!</v>
      </c>
      <c r="AB37" s="152" t="e">
        <f>(损益表!U39+借款偿还!AB16+借款偿还!AB17-损益表!U13)/(财务计划!AA36+财务计划!AA37)</f>
        <v>#REF!</v>
      </c>
      <c r="AC37" s="152" t="e">
        <f>(损益表!V39+借款偿还!AC16+借款偿还!AC17-损益表!V13)/(财务计划!AB36+财务计划!AB37)</f>
        <v>#REF!</v>
      </c>
      <c r="AD37" s="152" t="e">
        <f>(损益表!W39+借款偿还!AD16+借款偿还!AD17-损益表!W13)/(财务计划!AC36+财务计划!AC37)</f>
        <v>#REF!</v>
      </c>
      <c r="AE37" s="152" t="e">
        <f>(损益表!X39+借款偿还!AE16+借款偿还!AE17-损益表!X13)/(财务计划!AD36+财务计划!AD37)</f>
        <v>#REF!</v>
      </c>
      <c r="AF37" s="152" t="e">
        <f>(损益表!Y39+借款偿还!AF16+借款偿还!AF17-损益表!Y13)/(财务计划!AE36+财务计划!AE37)</f>
        <v>#REF!</v>
      </c>
      <c r="AG37" s="152" t="e">
        <f>(损益表!Z39+借款偿还!AG16+借款偿还!AG17-损益表!Z13)/(财务计划!AF36+财务计划!AF37)</f>
        <v>#REF!</v>
      </c>
      <c r="AH37" s="152" t="e">
        <f>(损益表!AA39+借款偿还!AH16+借款偿还!AH17-损益表!AA13)/(财务计划!AG36+财务计划!AG37)</f>
        <v>#REF!</v>
      </c>
      <c r="AI37" s="152" t="e">
        <f>(损益表!AB39+借款偿还!AI16+借款偿还!AI17-损益表!AB13)/(财务计划!AH36+财务计划!AH37)</f>
        <v>#REF!</v>
      </c>
      <c r="AJ37" s="152" t="e">
        <f>(损益表!AC39+借款偿还!AJ16+借款偿还!AJ17-损益表!AC13)/(财务计划!AI36+财务计划!AI37)</f>
        <v>#DIV/0!</v>
      </c>
      <c r="AK37" s="152" t="e">
        <f>(损益表!AD39+借款偿还!AK16+借款偿还!AK17-损益表!AD13)/(财务计划!AJ36+财务计划!AJ37)</f>
        <v>#DIV/0!</v>
      </c>
      <c r="AL37" s="152" t="e">
        <f>(损益表!AE39+借款偿还!AL16+借款偿还!AL17-损益表!AE13)/(财务计划!AK36+财务计划!AK37)</f>
        <v>#DIV/0!</v>
      </c>
      <c r="AM37" s="152" t="e">
        <f>(损益表!AF39+借款偿还!AM16+借款偿还!AM17-损益表!AF13)/(财务计划!AL36+财务计划!AL37)</f>
        <v>#DIV/0!</v>
      </c>
      <c r="AN37" s="152" t="e">
        <f>(损益表!AG39+借款偿还!AN16+借款偿还!AN17-损益表!AG13)/(财务计划!AM36+财务计划!AM37)</f>
        <v>#DIV/0!</v>
      </c>
      <c r="AP37" s="157"/>
    </row>
    <row r="40" spans="11:43">
      <c r="K40" s="155" t="e">
        <f t="shared" ref="K40:AN40" si="14">IF(K$6&gt;0,K36,0)</f>
        <v>#REF!</v>
      </c>
      <c r="L40" s="155" t="e">
        <f t="shared" si="14"/>
        <v>#REF!</v>
      </c>
      <c r="M40" s="155" t="e">
        <f t="shared" si="14"/>
        <v>#REF!</v>
      </c>
      <c r="N40" s="155" t="e">
        <f t="shared" si="14"/>
        <v>#REF!</v>
      </c>
      <c r="O40" s="155" t="e">
        <f t="shared" si="14"/>
        <v>#REF!</v>
      </c>
      <c r="P40" s="155" t="e">
        <f t="shared" si="14"/>
        <v>#REF!</v>
      </c>
      <c r="Q40" s="155" t="e">
        <f t="shared" si="14"/>
        <v>#REF!</v>
      </c>
      <c r="R40" s="155" t="e">
        <f t="shared" si="14"/>
        <v>#REF!</v>
      </c>
      <c r="S40" s="155" t="e">
        <f t="shared" si="14"/>
        <v>#REF!</v>
      </c>
      <c r="T40" s="155" t="e">
        <f t="shared" si="14"/>
        <v>#REF!</v>
      </c>
      <c r="U40" s="155" t="e">
        <f t="shared" si="14"/>
        <v>#REF!</v>
      </c>
      <c r="V40" s="155" t="e">
        <f t="shared" si="14"/>
        <v>#REF!</v>
      </c>
      <c r="W40" s="155" t="e">
        <f t="shared" si="14"/>
        <v>#REF!</v>
      </c>
      <c r="X40" s="155" t="e">
        <f t="shared" si="14"/>
        <v>#REF!</v>
      </c>
      <c r="Y40" s="155" t="e">
        <f t="shared" si="14"/>
        <v>#REF!</v>
      </c>
      <c r="Z40" s="155" t="e">
        <f t="shared" si="14"/>
        <v>#REF!</v>
      </c>
      <c r="AA40" s="155" t="e">
        <f t="shared" si="14"/>
        <v>#REF!</v>
      </c>
      <c r="AB40" s="155" t="e">
        <f t="shared" si="14"/>
        <v>#REF!</v>
      </c>
      <c r="AC40" s="155" t="e">
        <f t="shared" si="14"/>
        <v>#REF!</v>
      </c>
      <c r="AD40" s="155" t="e">
        <f t="shared" si="14"/>
        <v>#REF!</v>
      </c>
      <c r="AE40" s="155" t="e">
        <f t="shared" si="14"/>
        <v>#REF!</v>
      </c>
      <c r="AF40" s="155" t="e">
        <f t="shared" si="14"/>
        <v>#REF!</v>
      </c>
      <c r="AG40" s="155" t="e">
        <f t="shared" si="14"/>
        <v>#REF!</v>
      </c>
      <c r="AH40" s="155" t="e">
        <f t="shared" si="14"/>
        <v>#REF!</v>
      </c>
      <c r="AI40" s="155" t="e">
        <f t="shared" si="14"/>
        <v>#REF!</v>
      </c>
      <c r="AJ40" s="155" t="e">
        <f t="shared" si="14"/>
        <v>#REF!</v>
      </c>
      <c r="AK40" s="155" t="e">
        <f t="shared" si="14"/>
        <v>#REF!</v>
      </c>
      <c r="AL40" s="155" t="e">
        <f t="shared" si="14"/>
        <v>#REF!</v>
      </c>
      <c r="AM40" s="155" t="e">
        <f t="shared" si="14"/>
        <v>#REF!</v>
      </c>
      <c r="AN40" s="155" t="e">
        <f t="shared" si="14"/>
        <v>#REF!</v>
      </c>
      <c r="AP40" s="157" t="e">
        <f>SUM(K40:AO40)/AP42</f>
        <v>#REF!</v>
      </c>
      <c r="AQ40" s="157" t="e">
        <f>MAX(K40:AN40)</f>
        <v>#REF!</v>
      </c>
    </row>
    <row r="41" spans="11:43">
      <c r="K41" s="155" t="e">
        <f t="shared" ref="K41:AN41" si="15">IF(K$6&gt;0,K37,0)</f>
        <v>#REF!</v>
      </c>
      <c r="L41" s="155" t="e">
        <f t="shared" si="15"/>
        <v>#REF!</v>
      </c>
      <c r="M41" s="155" t="e">
        <f t="shared" si="15"/>
        <v>#REF!</v>
      </c>
      <c r="N41" s="155" t="e">
        <f t="shared" si="15"/>
        <v>#REF!</v>
      </c>
      <c r="O41" s="155" t="e">
        <f t="shared" si="15"/>
        <v>#REF!</v>
      </c>
      <c r="P41" s="155" t="e">
        <f t="shared" si="15"/>
        <v>#REF!</v>
      </c>
      <c r="Q41" s="155" t="e">
        <f t="shared" si="15"/>
        <v>#REF!</v>
      </c>
      <c r="R41" s="155" t="e">
        <f t="shared" si="15"/>
        <v>#REF!</v>
      </c>
      <c r="S41" s="155" t="e">
        <f t="shared" si="15"/>
        <v>#REF!</v>
      </c>
      <c r="T41" s="155" t="e">
        <f t="shared" si="15"/>
        <v>#REF!</v>
      </c>
      <c r="U41" s="155" t="e">
        <f t="shared" si="15"/>
        <v>#REF!</v>
      </c>
      <c r="V41" s="155" t="e">
        <f t="shared" si="15"/>
        <v>#REF!</v>
      </c>
      <c r="W41" s="155" t="e">
        <f t="shared" si="15"/>
        <v>#REF!</v>
      </c>
      <c r="X41" s="155" t="e">
        <f t="shared" si="15"/>
        <v>#REF!</v>
      </c>
      <c r="Y41" s="155" t="e">
        <f t="shared" si="15"/>
        <v>#REF!</v>
      </c>
      <c r="Z41" s="155" t="e">
        <f t="shared" si="15"/>
        <v>#REF!</v>
      </c>
      <c r="AA41" s="155" t="e">
        <f t="shared" si="15"/>
        <v>#REF!</v>
      </c>
      <c r="AB41" s="155" t="e">
        <f t="shared" si="15"/>
        <v>#REF!</v>
      </c>
      <c r="AC41" s="155" t="e">
        <f t="shared" si="15"/>
        <v>#REF!</v>
      </c>
      <c r="AD41" s="155" t="e">
        <f t="shared" si="15"/>
        <v>#REF!</v>
      </c>
      <c r="AE41" s="155" t="e">
        <f t="shared" si="15"/>
        <v>#REF!</v>
      </c>
      <c r="AF41" s="155" t="e">
        <f t="shared" si="15"/>
        <v>#REF!</v>
      </c>
      <c r="AG41" s="155" t="e">
        <f t="shared" si="15"/>
        <v>#REF!</v>
      </c>
      <c r="AH41" s="155" t="e">
        <f t="shared" si="15"/>
        <v>#REF!</v>
      </c>
      <c r="AI41" s="155" t="e">
        <f t="shared" si="15"/>
        <v>#REF!</v>
      </c>
      <c r="AJ41" s="155" t="e">
        <f t="shared" si="15"/>
        <v>#REF!</v>
      </c>
      <c r="AK41" s="155" t="e">
        <f t="shared" si="15"/>
        <v>#REF!</v>
      </c>
      <c r="AL41" s="155" t="e">
        <f t="shared" si="15"/>
        <v>#REF!</v>
      </c>
      <c r="AM41" s="155" t="e">
        <f t="shared" si="15"/>
        <v>#REF!</v>
      </c>
      <c r="AN41" s="155" t="e">
        <f t="shared" si="15"/>
        <v>#REF!</v>
      </c>
      <c r="AP41" s="157" t="e">
        <f>SUM(K41:AO41)/AP42</f>
        <v>#REF!</v>
      </c>
      <c r="AQ41" s="157" t="e">
        <f>MAX(K41:AN41)</f>
        <v>#REF!</v>
      </c>
    </row>
    <row r="42" spans="11:42">
      <c r="K42" s="155" t="e">
        <f t="shared" ref="K42:AD42" si="16">IF(K$6&gt;0,1,0)</f>
        <v>#REF!</v>
      </c>
      <c r="L42" s="155" t="e">
        <f t="shared" si="16"/>
        <v>#REF!</v>
      </c>
      <c r="M42" s="155" t="e">
        <f t="shared" si="16"/>
        <v>#REF!</v>
      </c>
      <c r="N42" s="155" t="e">
        <f t="shared" si="16"/>
        <v>#REF!</v>
      </c>
      <c r="O42" s="155" t="e">
        <f t="shared" si="16"/>
        <v>#REF!</v>
      </c>
      <c r="P42" s="155" t="e">
        <f t="shared" si="16"/>
        <v>#REF!</v>
      </c>
      <c r="Q42" s="155" t="e">
        <f t="shared" si="16"/>
        <v>#REF!</v>
      </c>
      <c r="R42" s="155" t="e">
        <f t="shared" si="16"/>
        <v>#REF!</v>
      </c>
      <c r="S42" s="155" t="e">
        <f t="shared" si="16"/>
        <v>#REF!</v>
      </c>
      <c r="T42" s="155" t="e">
        <f t="shared" si="16"/>
        <v>#REF!</v>
      </c>
      <c r="U42" s="155" t="e">
        <f t="shared" si="16"/>
        <v>#REF!</v>
      </c>
      <c r="V42" s="155" t="e">
        <f t="shared" si="16"/>
        <v>#REF!</v>
      </c>
      <c r="W42" s="155" t="e">
        <f t="shared" si="16"/>
        <v>#REF!</v>
      </c>
      <c r="X42" s="155" t="e">
        <f t="shared" si="16"/>
        <v>#REF!</v>
      </c>
      <c r="Y42" s="155" t="e">
        <f t="shared" si="16"/>
        <v>#REF!</v>
      </c>
      <c r="Z42" s="155" t="e">
        <f t="shared" si="16"/>
        <v>#REF!</v>
      </c>
      <c r="AA42" s="155" t="e">
        <f t="shared" si="16"/>
        <v>#REF!</v>
      </c>
      <c r="AB42" s="155" t="e">
        <f t="shared" si="16"/>
        <v>#REF!</v>
      </c>
      <c r="AC42" s="155" t="e">
        <f t="shared" si="16"/>
        <v>#REF!</v>
      </c>
      <c r="AD42" s="155" t="e">
        <f t="shared" si="16"/>
        <v>#REF!</v>
      </c>
      <c r="AO42" s="155"/>
      <c r="AP42" s="155" t="e">
        <f>SUM(K42:AD42)</f>
        <v>#REF!</v>
      </c>
    </row>
  </sheetData>
  <mergeCells count="5">
    <mergeCell ref="B1:AN1"/>
    <mergeCell ref="B2:AN2"/>
    <mergeCell ref="E3:J3"/>
    <mergeCell ref="K3:AN3"/>
    <mergeCell ref="B36:B37"/>
  </mergeCells>
  <printOptions horizontalCentered="true"/>
  <pageMargins left="0.236220472440945" right="0.236220472440945" top="1.61417322834646" bottom="0.393700787401575" header="0.984251968503937" footer="0.196850393700787"/>
  <pageSetup paperSize="9" scale="85" orientation="landscape"/>
  <headerFooter alignWithMargins="0">
    <oddHeader>&amp;R&amp;14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134"/>
  <sheetViews>
    <sheetView topLeftCell="A4" workbookViewId="0">
      <selection activeCell="K8" sqref="K8"/>
    </sheetView>
  </sheetViews>
  <sheetFormatPr defaultColWidth="9" defaultRowHeight="13.5"/>
  <cols>
    <col min="2" max="2" width="27.25" customWidth="true"/>
    <col min="4" max="4" width="10.375"/>
    <col min="5" max="5" width="12.875"/>
    <col min="7" max="7" width="9.375"/>
    <col min="11" max="11" width="23.5" customWidth="true"/>
    <col min="12" max="12" width="17.625" customWidth="true"/>
    <col min="13" max="13" width="13.375" customWidth="true"/>
    <col min="14" max="14" width="17.125" customWidth="true"/>
    <col min="15" max="15" width="12.875"/>
  </cols>
  <sheetData>
    <row r="2" spans="2:4">
      <c r="B2" t="s">
        <v>316</v>
      </c>
      <c r="C2" t="s">
        <v>317</v>
      </c>
      <c r="D2" t="s">
        <v>318</v>
      </c>
    </row>
    <row r="3" spans="1:4">
      <c r="A3">
        <v>2</v>
      </c>
      <c r="B3" t="s">
        <v>319</v>
      </c>
      <c r="C3">
        <v>408.25</v>
      </c>
      <c r="D3">
        <v>291.74</v>
      </c>
    </row>
    <row r="4" spans="1:4">
      <c r="A4">
        <v>3</v>
      </c>
      <c r="B4" t="s">
        <v>320</v>
      </c>
      <c r="C4">
        <v>319.86</v>
      </c>
      <c r="D4">
        <v>206.78</v>
      </c>
    </row>
    <row r="5" spans="1:4">
      <c r="A5">
        <v>4</v>
      </c>
      <c r="B5" s="512" t="s">
        <v>321</v>
      </c>
      <c r="C5" s="512">
        <v>249.96</v>
      </c>
      <c r="D5" s="512">
        <v>154.26</v>
      </c>
    </row>
    <row r="6" spans="1:12">
      <c r="A6">
        <v>5</v>
      </c>
      <c r="B6" s="512" t="s">
        <v>322</v>
      </c>
      <c r="C6" s="512">
        <v>221</v>
      </c>
      <c r="D6" s="512">
        <v>132.35</v>
      </c>
      <c r="K6" t="s">
        <v>296</v>
      </c>
      <c r="L6" t="s">
        <v>323</v>
      </c>
    </row>
    <row r="7" spans="1:12">
      <c r="A7">
        <v>6</v>
      </c>
      <c r="B7" t="s">
        <v>324</v>
      </c>
      <c r="C7">
        <v>205.17</v>
      </c>
      <c r="D7">
        <v>115</v>
      </c>
      <c r="K7" t="s">
        <v>296</v>
      </c>
      <c r="L7" t="s">
        <v>323</v>
      </c>
    </row>
    <row r="8" spans="2:15">
      <c r="B8" t="s">
        <v>325</v>
      </c>
      <c r="D8">
        <v>110</v>
      </c>
      <c r="K8" t="s">
        <v>24</v>
      </c>
      <c r="L8">
        <v>370912718.75</v>
      </c>
      <c r="N8" t="s">
        <v>24</v>
      </c>
      <c r="O8">
        <v>367305445.88</v>
      </c>
    </row>
    <row r="9" spans="1:15">
      <c r="A9">
        <v>7</v>
      </c>
      <c r="B9" t="s">
        <v>326</v>
      </c>
      <c r="C9">
        <v>2245.47</v>
      </c>
      <c r="D9">
        <v>500</v>
      </c>
      <c r="K9" t="s">
        <v>327</v>
      </c>
      <c r="L9">
        <v>257681255.05</v>
      </c>
      <c r="N9" t="s">
        <v>327</v>
      </c>
      <c r="O9">
        <v>254782985.31</v>
      </c>
    </row>
    <row r="10" spans="11:12">
      <c r="K10" t="s">
        <v>328</v>
      </c>
      <c r="L10">
        <v>43680920.99</v>
      </c>
    </row>
    <row r="11" ht="40.5" spans="1:15">
      <c r="A11">
        <v>8</v>
      </c>
      <c r="B11" s="513" t="s">
        <v>329</v>
      </c>
      <c r="C11">
        <v>221.89</v>
      </c>
      <c r="D11">
        <v>320</v>
      </c>
      <c r="K11" t="s">
        <v>330</v>
      </c>
      <c r="L11">
        <v>7501285.46</v>
      </c>
      <c r="N11" t="s">
        <v>328</v>
      </c>
      <c r="O11">
        <v>45249674.06</v>
      </c>
    </row>
    <row r="12" spans="11:15">
      <c r="K12" t="s">
        <v>331</v>
      </c>
      <c r="L12">
        <v>5270964.02</v>
      </c>
      <c r="N12" t="s">
        <v>330</v>
      </c>
      <c r="O12">
        <v>6746350.09</v>
      </c>
    </row>
    <row r="13" spans="2:15">
      <c r="B13" t="s">
        <v>305</v>
      </c>
      <c r="C13">
        <v>17188408.54</v>
      </c>
      <c r="K13" t="s">
        <v>332</v>
      </c>
      <c r="L13">
        <v>21634.55</v>
      </c>
      <c r="N13" t="s">
        <v>331</v>
      </c>
      <c r="O13">
        <v>5202234.43</v>
      </c>
    </row>
    <row r="14" spans="11:15">
      <c r="K14" t="s">
        <v>333</v>
      </c>
      <c r="L14">
        <v>9979926.89</v>
      </c>
      <c r="N14" t="s">
        <v>332</v>
      </c>
      <c r="O14">
        <v>21647.8</v>
      </c>
    </row>
    <row r="15" spans="2:15">
      <c r="B15" s="514" t="s">
        <v>334</v>
      </c>
      <c r="C15">
        <v>3145.29</v>
      </c>
      <c r="D15">
        <v>3076.1</v>
      </c>
      <c r="G15">
        <v>2826.664</v>
      </c>
      <c r="K15" t="s">
        <v>335</v>
      </c>
      <c r="L15">
        <v>8707925.23</v>
      </c>
      <c r="N15" t="s">
        <v>333</v>
      </c>
      <c r="O15">
        <v>6234775.39</v>
      </c>
    </row>
    <row r="16" spans="2:15">
      <c r="B16" s="514" t="s">
        <v>336</v>
      </c>
      <c r="C16">
        <v>2386.71</v>
      </c>
      <c r="D16">
        <v>2036.75</v>
      </c>
      <c r="G16">
        <v>1816.71</v>
      </c>
      <c r="K16" t="s">
        <v>337</v>
      </c>
      <c r="L16">
        <v>2131825.35</v>
      </c>
      <c r="N16" t="s">
        <v>335</v>
      </c>
      <c r="O16">
        <v>6761106.45</v>
      </c>
    </row>
    <row r="17" spans="2:15">
      <c r="B17" s="514" t="s">
        <v>338</v>
      </c>
      <c r="C17">
        <v>1844.99</v>
      </c>
      <c r="D17">
        <v>1588.14</v>
      </c>
      <c r="G17">
        <v>1363.05</v>
      </c>
      <c r="K17" t="s">
        <v>339</v>
      </c>
      <c r="L17">
        <v>1606892.34</v>
      </c>
      <c r="N17" t="s">
        <v>337</v>
      </c>
      <c r="O17">
        <v>2131458.92</v>
      </c>
    </row>
    <row r="18" spans="2:15">
      <c r="B18" s="514" t="s">
        <v>340</v>
      </c>
      <c r="C18">
        <v>1428.34</v>
      </c>
      <c r="D18">
        <v>1199.4</v>
      </c>
      <c r="G18">
        <v>982.42</v>
      </c>
      <c r="K18" t="s">
        <v>341</v>
      </c>
      <c r="L18">
        <v>5849450.68</v>
      </c>
      <c r="N18" t="s">
        <v>339</v>
      </c>
      <c r="O18">
        <v>1382684.13</v>
      </c>
    </row>
    <row r="19" spans="11:15">
      <c r="K19" t="s">
        <v>342</v>
      </c>
      <c r="L19">
        <v>17527988.84</v>
      </c>
      <c r="N19" t="s">
        <v>341</v>
      </c>
      <c r="O19">
        <v>6814887.87</v>
      </c>
    </row>
    <row r="20" spans="11:15">
      <c r="K20" t="s">
        <v>343</v>
      </c>
      <c r="L20">
        <v>3970093.07</v>
      </c>
      <c r="N20" t="s">
        <v>342</v>
      </c>
      <c r="O20">
        <v>17322256.97</v>
      </c>
    </row>
    <row r="21" spans="11:15">
      <c r="K21" t="s">
        <v>344</v>
      </c>
      <c r="L21">
        <v>975231.46</v>
      </c>
      <c r="N21" t="s">
        <v>343</v>
      </c>
      <c r="O21">
        <v>7622044.22</v>
      </c>
    </row>
    <row r="22" spans="11:15">
      <c r="K22" t="s">
        <v>345</v>
      </c>
      <c r="L22">
        <v>6007324.82</v>
      </c>
      <c r="N22" t="s">
        <v>344</v>
      </c>
      <c r="O22">
        <v>1026015.42</v>
      </c>
    </row>
    <row r="23" spans="11:15">
      <c r="K23" t="s">
        <v>35</v>
      </c>
      <c r="L23">
        <v>365225771.36</v>
      </c>
      <c r="N23" t="s">
        <v>345</v>
      </c>
      <c r="O23">
        <v>6007324.82</v>
      </c>
    </row>
    <row r="24" spans="5:15">
      <c r="E24">
        <v>1235297994</v>
      </c>
      <c r="K24" t="s">
        <v>346</v>
      </c>
      <c r="L24">
        <v>117880964.03</v>
      </c>
      <c r="N24" t="s">
        <v>35</v>
      </c>
      <c r="O24">
        <v>380033456.86</v>
      </c>
    </row>
    <row r="25" spans="11:12">
      <c r="K25" t="s">
        <v>347</v>
      </c>
      <c r="L25">
        <v>392036.76</v>
      </c>
    </row>
    <row r="26" spans="11:12">
      <c r="K26" t="s">
        <v>348</v>
      </c>
      <c r="L26">
        <v>541738.04</v>
      </c>
    </row>
    <row r="27" spans="5:15">
      <c r="E27">
        <f>+E24/10000</f>
        <v>123529.7994</v>
      </c>
      <c r="K27" t="s">
        <v>349</v>
      </c>
      <c r="L27">
        <v>4362022.04</v>
      </c>
      <c r="N27" t="s">
        <v>346</v>
      </c>
      <c r="O27">
        <v>132511783.64</v>
      </c>
    </row>
    <row r="28" spans="5:15">
      <c r="E28" t="e">
        <f>+总表!#REF!+总表!#REF!</f>
        <v>#REF!</v>
      </c>
      <c r="K28" t="s">
        <v>350</v>
      </c>
      <c r="L28">
        <v>8445853.49</v>
      </c>
      <c r="N28" t="s">
        <v>351</v>
      </c>
      <c r="O28">
        <v>149250110.6</v>
      </c>
    </row>
    <row r="29" spans="5:15">
      <c r="E29" t="e">
        <f>+总表!#REF!</f>
        <v>#REF!</v>
      </c>
      <c r="K29" t="s">
        <v>352</v>
      </c>
      <c r="L29">
        <v>10317828.77</v>
      </c>
      <c r="N29" t="s">
        <v>353</v>
      </c>
      <c r="O29">
        <v>26275819.89</v>
      </c>
    </row>
    <row r="30" spans="11:12">
      <c r="K30" t="s">
        <v>354</v>
      </c>
      <c r="L30">
        <v>7053839.03</v>
      </c>
    </row>
    <row r="31" spans="11:15">
      <c r="K31" t="s">
        <v>355</v>
      </c>
      <c r="L31">
        <v>5744052.94</v>
      </c>
      <c r="N31" t="s">
        <v>331</v>
      </c>
      <c r="O31">
        <v>726280.88</v>
      </c>
    </row>
    <row r="32" spans="11:15">
      <c r="K32" t="s">
        <v>351</v>
      </c>
      <c r="L32">
        <v>140310132.03</v>
      </c>
      <c r="M32" s="515"/>
      <c r="N32" t="s">
        <v>356</v>
      </c>
      <c r="O32">
        <v>760839.16</v>
      </c>
    </row>
    <row r="33" spans="11:15">
      <c r="K33" t="s">
        <v>357</v>
      </c>
      <c r="L33">
        <v>93665.83</v>
      </c>
      <c r="N33" t="s">
        <v>343</v>
      </c>
      <c r="O33">
        <v>120097.17</v>
      </c>
    </row>
    <row r="34" spans="11:15">
      <c r="K34" t="s">
        <v>358</v>
      </c>
      <c r="L34">
        <v>435009.06</v>
      </c>
      <c r="N34" t="s">
        <v>359</v>
      </c>
      <c r="O34">
        <v>20674494.26</v>
      </c>
    </row>
    <row r="35" spans="11:15">
      <c r="K35" t="s">
        <v>360</v>
      </c>
      <c r="L35">
        <v>5256709.48</v>
      </c>
      <c r="N35" t="s">
        <v>341</v>
      </c>
      <c r="O35">
        <v>10919917.45</v>
      </c>
    </row>
    <row r="36" spans="11:15">
      <c r="K36" t="s">
        <v>361</v>
      </c>
      <c r="L36">
        <v>9366978.08</v>
      </c>
      <c r="N36" t="s">
        <v>342</v>
      </c>
      <c r="O36">
        <v>22542611.83</v>
      </c>
    </row>
    <row r="37" spans="11:15">
      <c r="K37" t="s">
        <v>362</v>
      </c>
      <c r="L37">
        <v>8298424.58</v>
      </c>
      <c r="N37" t="s">
        <v>345</v>
      </c>
      <c r="O37">
        <v>16251501.98</v>
      </c>
    </row>
    <row r="38" spans="11:15">
      <c r="K38" t="s">
        <v>363</v>
      </c>
      <c r="L38">
        <v>7508874.57</v>
      </c>
      <c r="N38" t="s">
        <v>37</v>
      </c>
      <c r="O38">
        <v>419154906.82</v>
      </c>
    </row>
    <row r="39" spans="11:15">
      <c r="K39" t="s">
        <v>364</v>
      </c>
      <c r="L39">
        <v>5927064.07</v>
      </c>
      <c r="N39" t="s">
        <v>365</v>
      </c>
      <c r="O39">
        <v>62542068.77</v>
      </c>
    </row>
    <row r="40" spans="11:15">
      <c r="K40" t="s">
        <v>353</v>
      </c>
      <c r="L40">
        <v>25897094.15</v>
      </c>
      <c r="N40" t="s">
        <v>366</v>
      </c>
      <c r="O40">
        <v>12330224.29</v>
      </c>
    </row>
    <row r="41" spans="11:15">
      <c r="K41" t="s">
        <v>367</v>
      </c>
      <c r="L41">
        <v>270236.58</v>
      </c>
      <c r="N41" t="s">
        <v>368</v>
      </c>
      <c r="O41">
        <v>38724762.35</v>
      </c>
    </row>
    <row r="42" spans="11:15">
      <c r="K42" t="s">
        <v>369</v>
      </c>
      <c r="L42">
        <v>1719304.04</v>
      </c>
      <c r="N42" t="s">
        <v>370</v>
      </c>
      <c r="O42">
        <v>128379197.81</v>
      </c>
    </row>
    <row r="43" spans="11:15">
      <c r="K43" t="s">
        <v>371</v>
      </c>
      <c r="L43">
        <v>925566.08</v>
      </c>
      <c r="N43" t="s">
        <v>372</v>
      </c>
      <c r="O43">
        <v>24148210.25</v>
      </c>
    </row>
    <row r="44" spans="11:15">
      <c r="K44" t="s">
        <v>373</v>
      </c>
      <c r="L44">
        <v>2021804.5</v>
      </c>
      <c r="N44" t="s">
        <v>374</v>
      </c>
      <c r="O44">
        <v>78774233.96</v>
      </c>
    </row>
    <row r="45" spans="11:15">
      <c r="K45" t="s">
        <v>375</v>
      </c>
      <c r="L45">
        <v>1387622</v>
      </c>
      <c r="N45" t="s">
        <v>376</v>
      </c>
      <c r="O45">
        <v>25574562.64</v>
      </c>
    </row>
    <row r="46" spans="11:15">
      <c r="K46" t="s">
        <v>377</v>
      </c>
      <c r="L46">
        <v>1068951.21</v>
      </c>
      <c r="N46" t="s">
        <v>378</v>
      </c>
      <c r="O46">
        <v>4748478.88</v>
      </c>
    </row>
    <row r="47" spans="11:15">
      <c r="K47" t="s">
        <v>37</v>
      </c>
      <c r="L47">
        <v>400726388.76</v>
      </c>
      <c r="N47" t="s">
        <v>379</v>
      </c>
      <c r="O47">
        <v>14776335.66</v>
      </c>
    </row>
    <row r="48" spans="11:15">
      <c r="K48" t="s">
        <v>365</v>
      </c>
      <c r="L48">
        <v>59362191.95</v>
      </c>
      <c r="N48" t="s">
        <v>380</v>
      </c>
      <c r="O48">
        <v>15855965.38</v>
      </c>
    </row>
    <row r="49" spans="11:15">
      <c r="K49" t="s">
        <v>366</v>
      </c>
      <c r="L49">
        <v>11873759.86</v>
      </c>
      <c r="N49" t="s">
        <v>381</v>
      </c>
      <c r="O49">
        <v>3386744.78</v>
      </c>
    </row>
    <row r="50" spans="11:15">
      <c r="K50" t="s">
        <v>368</v>
      </c>
      <c r="L50">
        <v>37409661.46</v>
      </c>
      <c r="N50" t="s">
        <v>382</v>
      </c>
      <c r="O50">
        <v>9914122.05</v>
      </c>
    </row>
    <row r="51" spans="11:15">
      <c r="K51" t="s">
        <v>370</v>
      </c>
      <c r="L51">
        <v>121852215.85</v>
      </c>
      <c r="N51" t="s">
        <v>40</v>
      </c>
      <c r="O51">
        <v>10574844.8</v>
      </c>
    </row>
    <row r="52" spans="11:15">
      <c r="K52" t="s">
        <v>372</v>
      </c>
      <c r="L52">
        <v>23211223.12</v>
      </c>
      <c r="N52" t="s">
        <v>383</v>
      </c>
      <c r="O52">
        <v>300988.12</v>
      </c>
    </row>
    <row r="53" spans="11:15">
      <c r="K53" t="s">
        <v>374</v>
      </c>
      <c r="L53">
        <v>76067958.76</v>
      </c>
      <c r="N53" t="s">
        <v>384</v>
      </c>
      <c r="O53">
        <v>3297444.01</v>
      </c>
    </row>
    <row r="54" spans="11:15">
      <c r="K54" t="s">
        <v>376</v>
      </c>
      <c r="L54">
        <v>24293406.22</v>
      </c>
      <c r="N54" t="s">
        <v>385</v>
      </c>
      <c r="O54">
        <v>263595.33</v>
      </c>
    </row>
    <row r="55" spans="11:15">
      <c r="K55" t="s">
        <v>378</v>
      </c>
      <c r="L55">
        <v>4576205.74</v>
      </c>
      <c r="N55" t="s">
        <v>386</v>
      </c>
      <c r="O55">
        <v>3297444.01</v>
      </c>
    </row>
    <row r="56" spans="11:15">
      <c r="K56" t="s">
        <v>379</v>
      </c>
      <c r="L56">
        <v>14278415.92</v>
      </c>
      <c r="N56" t="s">
        <v>387</v>
      </c>
      <c r="O56">
        <v>117929.32</v>
      </c>
    </row>
    <row r="57" spans="11:15">
      <c r="K57" t="s">
        <v>380</v>
      </c>
      <c r="L57">
        <v>14947565.46</v>
      </c>
      <c r="N57" t="s">
        <v>388</v>
      </c>
      <c r="O57">
        <v>3297444.01</v>
      </c>
    </row>
    <row r="58" spans="11:15">
      <c r="K58" t="s">
        <v>381</v>
      </c>
      <c r="L58">
        <v>3270458.64</v>
      </c>
      <c r="N58" t="s">
        <v>389</v>
      </c>
      <c r="O58">
        <v>34741725.73</v>
      </c>
    </row>
    <row r="59" spans="11:15">
      <c r="K59" t="s">
        <v>382</v>
      </c>
      <c r="L59">
        <v>9583325.78</v>
      </c>
      <c r="N59" t="s">
        <v>390</v>
      </c>
      <c r="O59">
        <v>5384563.82</v>
      </c>
    </row>
    <row r="60" spans="11:15">
      <c r="K60" t="s">
        <v>40</v>
      </c>
      <c r="L60">
        <v>12924333.66</v>
      </c>
      <c r="N60" t="s">
        <v>391</v>
      </c>
      <c r="O60">
        <v>1148281.25</v>
      </c>
    </row>
    <row r="61" spans="11:15">
      <c r="K61" t="s">
        <v>392</v>
      </c>
      <c r="L61">
        <v>210735.64</v>
      </c>
      <c r="N61" t="s">
        <v>393</v>
      </c>
      <c r="O61">
        <v>4056876.09</v>
      </c>
    </row>
    <row r="62" spans="11:15">
      <c r="K62" t="s">
        <v>394</v>
      </c>
      <c r="L62">
        <v>14310.84</v>
      </c>
      <c r="N62" t="s">
        <v>395</v>
      </c>
      <c r="O62">
        <v>18087343.17</v>
      </c>
    </row>
    <row r="63" spans="11:15">
      <c r="K63" t="s">
        <v>396</v>
      </c>
      <c r="L63">
        <v>8094.49</v>
      </c>
      <c r="N63" t="s">
        <v>397</v>
      </c>
      <c r="O63">
        <v>4011142.98</v>
      </c>
    </row>
    <row r="64" spans="11:15">
      <c r="K64" t="s">
        <v>398</v>
      </c>
      <c r="L64">
        <v>57817.93</v>
      </c>
      <c r="N64" t="s">
        <v>399</v>
      </c>
      <c r="O64">
        <v>2053518.42</v>
      </c>
    </row>
    <row r="65" spans="11:15">
      <c r="K65" t="s">
        <v>400</v>
      </c>
      <c r="L65">
        <v>2786481.97</v>
      </c>
      <c r="N65" t="s">
        <v>401</v>
      </c>
      <c r="O65">
        <v>5559733.26</v>
      </c>
    </row>
    <row r="66" spans="11:15">
      <c r="K66" t="s">
        <v>402</v>
      </c>
      <c r="L66">
        <v>24318.04</v>
      </c>
      <c r="N66" t="s">
        <v>403</v>
      </c>
      <c r="O66">
        <v>123615.66</v>
      </c>
    </row>
    <row r="67" spans="11:15">
      <c r="K67" t="s">
        <v>404</v>
      </c>
      <c r="L67">
        <v>21270.78</v>
      </c>
      <c r="N67" t="s">
        <v>405</v>
      </c>
      <c r="O67">
        <v>280177.49</v>
      </c>
    </row>
    <row r="68" spans="11:15">
      <c r="K68" t="s">
        <v>406</v>
      </c>
      <c r="L68">
        <v>37644.57</v>
      </c>
      <c r="N68" t="s">
        <v>407</v>
      </c>
      <c r="O68">
        <v>4832279.04</v>
      </c>
    </row>
    <row r="69" spans="11:15">
      <c r="K69" t="s">
        <v>408</v>
      </c>
      <c r="L69">
        <v>1264138.01</v>
      </c>
      <c r="N69" t="s">
        <v>409</v>
      </c>
      <c r="O69">
        <v>323661.07</v>
      </c>
    </row>
    <row r="70" spans="11:15">
      <c r="K70" t="s">
        <v>410</v>
      </c>
      <c r="L70">
        <v>208413.04</v>
      </c>
      <c r="N70" t="s">
        <v>411</v>
      </c>
      <c r="O70">
        <v>18926574.86</v>
      </c>
    </row>
    <row r="71" spans="11:15">
      <c r="K71" t="s">
        <v>412</v>
      </c>
      <c r="L71">
        <v>11369.06</v>
      </c>
      <c r="N71" t="s">
        <v>413</v>
      </c>
      <c r="O71">
        <v>2719730.59</v>
      </c>
    </row>
    <row r="72" spans="11:15">
      <c r="K72" t="s">
        <v>414</v>
      </c>
      <c r="L72">
        <v>5152.66</v>
      </c>
      <c r="N72" t="s">
        <v>415</v>
      </c>
      <c r="O72">
        <v>2510086.05</v>
      </c>
    </row>
    <row r="73" spans="11:15">
      <c r="K73" t="s">
        <v>416</v>
      </c>
      <c r="L73">
        <v>54876.12</v>
      </c>
      <c r="N73" t="s">
        <v>417</v>
      </c>
      <c r="O73">
        <v>2187723.85</v>
      </c>
    </row>
    <row r="74" spans="11:15">
      <c r="K74" t="s">
        <v>418</v>
      </c>
      <c r="L74">
        <v>2783540.18</v>
      </c>
      <c r="N74" t="s">
        <v>419</v>
      </c>
      <c r="O74">
        <v>7311023.85</v>
      </c>
    </row>
    <row r="75" spans="11:15">
      <c r="K75" t="s">
        <v>420</v>
      </c>
      <c r="L75">
        <v>24043.67</v>
      </c>
      <c r="N75" t="s">
        <v>421</v>
      </c>
      <c r="O75">
        <v>2727526</v>
      </c>
    </row>
    <row r="76" spans="11:15">
      <c r="K76" t="s">
        <v>422</v>
      </c>
      <c r="L76">
        <v>20760.18</v>
      </c>
      <c r="N76" t="s">
        <v>423</v>
      </c>
      <c r="O76">
        <v>1470484.52</v>
      </c>
    </row>
    <row r="77" spans="11:12">
      <c r="K77" t="s">
        <v>424</v>
      </c>
      <c r="L77">
        <v>34702.79</v>
      </c>
    </row>
    <row r="78" spans="11:15">
      <c r="K78" t="s">
        <v>425</v>
      </c>
      <c r="L78">
        <v>948468.59</v>
      </c>
      <c r="N78" t="s">
        <v>426</v>
      </c>
      <c r="O78">
        <v>18013226.01</v>
      </c>
    </row>
    <row r="79" spans="11:15">
      <c r="K79" t="s">
        <v>427</v>
      </c>
      <c r="L79">
        <v>208413.02</v>
      </c>
      <c r="N79" t="s">
        <v>428</v>
      </c>
      <c r="O79">
        <v>10647141.06</v>
      </c>
    </row>
    <row r="80" spans="11:15">
      <c r="K80" t="s">
        <v>429</v>
      </c>
      <c r="L80">
        <v>11369.06</v>
      </c>
      <c r="N80" t="s">
        <v>430</v>
      </c>
      <c r="O80">
        <v>3177977.79</v>
      </c>
    </row>
    <row r="81" spans="11:15">
      <c r="K81" t="s">
        <v>431</v>
      </c>
      <c r="L81">
        <v>2941.8</v>
      </c>
      <c r="N81" t="s">
        <v>432</v>
      </c>
      <c r="O81">
        <v>1768822.6</v>
      </c>
    </row>
    <row r="82" spans="11:15">
      <c r="K82" t="s">
        <v>433</v>
      </c>
      <c r="L82">
        <v>79194.17</v>
      </c>
      <c r="N82" t="s">
        <v>434</v>
      </c>
      <c r="O82">
        <v>2155962.98</v>
      </c>
    </row>
    <row r="83" spans="11:15">
      <c r="K83" t="s">
        <v>435</v>
      </c>
      <c r="L83">
        <v>2786481.97</v>
      </c>
      <c r="N83" t="s">
        <v>436</v>
      </c>
      <c r="O83">
        <v>263321.58</v>
      </c>
    </row>
    <row r="84" spans="11:15">
      <c r="K84" t="s">
        <v>437</v>
      </c>
      <c r="L84">
        <v>24318.04</v>
      </c>
      <c r="N84" t="s">
        <v>438</v>
      </c>
      <c r="O84">
        <v>0</v>
      </c>
    </row>
    <row r="85" spans="11:15">
      <c r="K85" t="s">
        <v>439</v>
      </c>
      <c r="L85">
        <v>21270.78</v>
      </c>
      <c r="N85" t="s">
        <v>440</v>
      </c>
      <c r="O85">
        <v>0</v>
      </c>
    </row>
    <row r="86" spans="11:15">
      <c r="K86" t="s">
        <v>441</v>
      </c>
      <c r="L86">
        <v>37644.57</v>
      </c>
      <c r="N86" t="s">
        <v>442</v>
      </c>
      <c r="O86">
        <v>0</v>
      </c>
    </row>
    <row r="87" spans="11:15">
      <c r="K87" t="s">
        <v>443</v>
      </c>
      <c r="L87">
        <v>1236561.69</v>
      </c>
      <c r="N87" t="s">
        <v>444</v>
      </c>
      <c r="O87">
        <v>0</v>
      </c>
    </row>
    <row r="88" spans="11:15">
      <c r="K88" t="s">
        <v>389</v>
      </c>
      <c r="L88">
        <v>30800220.34</v>
      </c>
      <c r="N88" t="s">
        <v>445</v>
      </c>
      <c r="O88">
        <v>0</v>
      </c>
    </row>
    <row r="89" spans="11:15">
      <c r="K89" t="s">
        <v>446</v>
      </c>
      <c r="L89">
        <v>3301877.8</v>
      </c>
      <c r="N89" t="s">
        <v>447</v>
      </c>
      <c r="O89">
        <v>4865602.75</v>
      </c>
    </row>
    <row r="90" spans="11:15">
      <c r="K90" t="s">
        <v>448</v>
      </c>
      <c r="L90">
        <v>2086975.09</v>
      </c>
      <c r="N90" t="s">
        <v>449</v>
      </c>
      <c r="O90">
        <v>96828.05</v>
      </c>
    </row>
    <row r="91" spans="11:15">
      <c r="K91" t="s">
        <v>450</v>
      </c>
      <c r="L91">
        <v>223878.35</v>
      </c>
      <c r="N91" t="s">
        <v>451</v>
      </c>
      <c r="O91">
        <v>125514.32</v>
      </c>
    </row>
    <row r="92" spans="11:15">
      <c r="K92" t="s">
        <v>452</v>
      </c>
      <c r="L92">
        <v>95414.68</v>
      </c>
      <c r="N92" t="s">
        <v>453</v>
      </c>
      <c r="O92">
        <v>4319599.31</v>
      </c>
    </row>
    <row r="93" spans="11:15">
      <c r="K93" t="s">
        <v>395</v>
      </c>
      <c r="L93">
        <v>12292137.99</v>
      </c>
      <c r="N93" t="s">
        <v>454</v>
      </c>
      <c r="O93">
        <v>323661.07</v>
      </c>
    </row>
    <row r="94" spans="11:15">
      <c r="K94" t="s">
        <v>455</v>
      </c>
      <c r="L94">
        <v>2190344.44</v>
      </c>
      <c r="N94" t="s">
        <v>456</v>
      </c>
      <c r="O94">
        <v>4609786.11</v>
      </c>
    </row>
    <row r="95" spans="11:15">
      <c r="K95" t="s">
        <v>457</v>
      </c>
      <c r="L95">
        <v>122707.87</v>
      </c>
      <c r="N95" t="s">
        <v>89</v>
      </c>
      <c r="O95">
        <v>4609786.11</v>
      </c>
    </row>
    <row r="96" spans="11:12">
      <c r="K96" t="s">
        <v>393</v>
      </c>
      <c r="L96">
        <v>3490674.88</v>
      </c>
    </row>
    <row r="97" spans="11:12">
      <c r="K97" t="s">
        <v>458</v>
      </c>
      <c r="L97">
        <v>826519.7</v>
      </c>
    </row>
    <row r="98" spans="11:12">
      <c r="K98" t="s">
        <v>397</v>
      </c>
      <c r="L98">
        <v>4005369.21</v>
      </c>
    </row>
    <row r="99" spans="11:12">
      <c r="K99" t="s">
        <v>399</v>
      </c>
      <c r="L99">
        <v>2164320.33</v>
      </c>
    </row>
    <row r="100" spans="11:12">
      <c r="K100" t="s">
        <v>401</v>
      </c>
      <c r="L100">
        <v>5942923.36</v>
      </c>
    </row>
    <row r="101" spans="11:12">
      <c r="K101" t="s">
        <v>459</v>
      </c>
      <c r="L101">
        <v>121982.52</v>
      </c>
    </row>
    <row r="102" spans="11:12">
      <c r="K102" t="s">
        <v>405</v>
      </c>
      <c r="L102">
        <v>83518.81</v>
      </c>
    </row>
    <row r="103" spans="11:12">
      <c r="K103" t="s">
        <v>460</v>
      </c>
      <c r="L103">
        <v>226315.9</v>
      </c>
    </row>
    <row r="104" spans="11:12">
      <c r="K104" t="s">
        <v>407</v>
      </c>
      <c r="L104">
        <v>5186895.47</v>
      </c>
    </row>
    <row r="105" spans="11:12">
      <c r="K105" t="s">
        <v>409</v>
      </c>
      <c r="L105">
        <v>324210.66</v>
      </c>
    </row>
    <row r="106" spans="11:12">
      <c r="K106" t="s">
        <v>411</v>
      </c>
      <c r="L106">
        <v>19671443.7</v>
      </c>
    </row>
    <row r="107" spans="11:12">
      <c r="K107" t="s">
        <v>461</v>
      </c>
      <c r="L107">
        <v>1537276.82</v>
      </c>
    </row>
    <row r="108" spans="11:12">
      <c r="K108" t="s">
        <v>415</v>
      </c>
      <c r="L108">
        <v>2915449.42</v>
      </c>
    </row>
    <row r="109" spans="11:12">
      <c r="K109" t="s">
        <v>455</v>
      </c>
      <c r="L109">
        <v>1767657.67</v>
      </c>
    </row>
    <row r="110" spans="11:12">
      <c r="K110" t="s">
        <v>457</v>
      </c>
      <c r="L110">
        <v>261897.47</v>
      </c>
    </row>
    <row r="111" spans="11:12">
      <c r="K111" t="s">
        <v>417</v>
      </c>
      <c r="L111">
        <v>1729585.31</v>
      </c>
    </row>
    <row r="112" spans="11:12">
      <c r="K112" t="s">
        <v>462</v>
      </c>
      <c r="L112">
        <v>663172.12</v>
      </c>
    </row>
    <row r="113" spans="11:12">
      <c r="K113" t="s">
        <v>419</v>
      </c>
      <c r="L113">
        <v>6485415.26</v>
      </c>
    </row>
    <row r="114" spans="11:12">
      <c r="K114" t="s">
        <v>421</v>
      </c>
      <c r="L114">
        <v>2840291.46</v>
      </c>
    </row>
    <row r="115" spans="11:12">
      <c r="K115" t="s">
        <v>423</v>
      </c>
      <c r="L115">
        <v>1470698.17</v>
      </c>
    </row>
    <row r="116" spans="11:12">
      <c r="K116" t="s">
        <v>426</v>
      </c>
      <c r="L116">
        <v>17097053.53</v>
      </c>
    </row>
    <row r="117" spans="11:12">
      <c r="K117" t="s">
        <v>463</v>
      </c>
      <c r="L117">
        <v>6530393.82</v>
      </c>
    </row>
    <row r="118" spans="11:12">
      <c r="K118" t="s">
        <v>464</v>
      </c>
      <c r="L118">
        <v>223878.35</v>
      </c>
    </row>
    <row r="119" spans="11:12">
      <c r="K119" t="s">
        <v>465</v>
      </c>
      <c r="L119">
        <v>95414.68</v>
      </c>
    </row>
    <row r="120" spans="11:12">
      <c r="K120" t="s">
        <v>455</v>
      </c>
      <c r="L120">
        <v>2844344.44</v>
      </c>
    </row>
    <row r="121" spans="11:12">
      <c r="K121" t="s">
        <v>457</v>
      </c>
      <c r="L121">
        <v>245415.76</v>
      </c>
    </row>
    <row r="122" spans="11:12">
      <c r="K122" t="s">
        <v>430</v>
      </c>
      <c r="L122">
        <v>2580323.72</v>
      </c>
    </row>
    <row r="123" spans="11:12">
      <c r="K123" t="s">
        <v>466</v>
      </c>
      <c r="L123">
        <v>688955.54</v>
      </c>
    </row>
    <row r="124" spans="11:12">
      <c r="K124" t="s">
        <v>432</v>
      </c>
      <c r="L124">
        <v>1769117.5</v>
      </c>
    </row>
    <row r="125" spans="11:12">
      <c r="K125" t="s">
        <v>434</v>
      </c>
      <c r="L125">
        <v>1855488.99</v>
      </c>
    </row>
    <row r="126" spans="11:12">
      <c r="K126" t="s">
        <v>436</v>
      </c>
      <c r="L126">
        <v>263720.73</v>
      </c>
    </row>
    <row r="127" spans="11:12">
      <c r="K127" t="s">
        <v>467</v>
      </c>
      <c r="L127">
        <v>3404391.87</v>
      </c>
    </row>
    <row r="128" spans="11:12">
      <c r="K128" t="s">
        <v>468</v>
      </c>
      <c r="L128">
        <v>95535.78</v>
      </c>
    </row>
    <row r="129" spans="11:12">
      <c r="K129" t="s">
        <v>469</v>
      </c>
      <c r="L129">
        <v>64107.97</v>
      </c>
    </row>
    <row r="130" spans="11:12">
      <c r="K130" t="s">
        <v>470</v>
      </c>
      <c r="L130">
        <v>61281.34</v>
      </c>
    </row>
    <row r="131" spans="11:12">
      <c r="K131" t="s">
        <v>471</v>
      </c>
      <c r="L131">
        <v>2859796.78</v>
      </c>
    </row>
    <row r="132" spans="11:12">
      <c r="K132" t="s">
        <v>472</v>
      </c>
      <c r="L132">
        <v>323670</v>
      </c>
    </row>
    <row r="133" spans="11:12">
      <c r="K133" t="s">
        <v>456</v>
      </c>
      <c r="L133">
        <v>6640927.56</v>
      </c>
    </row>
    <row r="134" spans="11:12">
      <c r="K134" t="s">
        <v>89</v>
      </c>
      <c r="L134">
        <v>6640927.56</v>
      </c>
    </row>
  </sheetData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G40"/>
  <sheetViews>
    <sheetView showGridLines="0" showZeros="0" zoomScale="75" zoomScaleNormal="75" workbookViewId="0">
      <selection activeCell="H113" sqref="H113"/>
    </sheetView>
  </sheetViews>
  <sheetFormatPr defaultColWidth="10" defaultRowHeight="15.75" outlineLevelCol="6"/>
  <cols>
    <col min="1" max="1" width="4.5" style="45" customWidth="true"/>
    <col min="2" max="2" width="10" style="45" customWidth="true"/>
    <col min="3" max="3" width="7.5" style="45" customWidth="true"/>
    <col min="4" max="4" width="34" style="45" customWidth="true"/>
    <col min="5" max="5" width="23.125" style="45" customWidth="true"/>
    <col min="6" max="6" width="18.625" style="45" customWidth="true"/>
    <col min="7" max="16384" width="10" style="45"/>
  </cols>
  <sheetData>
    <row r="2" ht="20.25" spans="3:5">
      <c r="C2" s="104" t="s">
        <v>809</v>
      </c>
      <c r="D2" s="105"/>
      <c r="E2" s="47"/>
    </row>
    <row r="3" spans="3:5">
      <c r="C3" s="47"/>
      <c r="D3" s="47"/>
      <c r="E3" s="47"/>
    </row>
    <row r="4" ht="24.95" customHeight="true" spans="3:6">
      <c r="C4" s="97" t="s">
        <v>2</v>
      </c>
      <c r="D4" s="97" t="s">
        <v>810</v>
      </c>
      <c r="E4" s="97" t="s">
        <v>811</v>
      </c>
      <c r="F4" s="69"/>
    </row>
    <row r="5" ht="24.95" customHeight="true" spans="3:6">
      <c r="C5" s="97" t="s">
        <v>23</v>
      </c>
      <c r="D5" s="679" t="s">
        <v>812</v>
      </c>
      <c r="E5" s="97"/>
      <c r="F5" s="69"/>
    </row>
    <row r="6" ht="24.95" customHeight="true" spans="3:6">
      <c r="C6" s="97"/>
      <c r="D6" s="106" t="s">
        <v>813</v>
      </c>
      <c r="E6" s="113">
        <f>资本金现金流量!AN8</f>
        <v>243285.12</v>
      </c>
      <c r="F6" s="69"/>
    </row>
    <row r="7" ht="24.95" customHeight="true" spans="3:6">
      <c r="C7" s="97" t="s">
        <v>34</v>
      </c>
      <c r="D7" s="679" t="s">
        <v>814</v>
      </c>
      <c r="E7" s="113"/>
      <c r="F7" s="69"/>
    </row>
    <row r="8" ht="24.95" customHeight="true" spans="3:6">
      <c r="C8" s="97">
        <v>1</v>
      </c>
      <c r="D8" s="679" t="s">
        <v>815</v>
      </c>
      <c r="E8" s="113" t="e">
        <f>'总表 (2)'!J39-'总表 (2)'!J34-'总表 (2)'!J33</f>
        <v>#REF!</v>
      </c>
      <c r="F8" s="114"/>
    </row>
    <row r="9" ht="24.95" customHeight="true" spans="3:6">
      <c r="C9" s="97"/>
      <c r="D9" s="106"/>
      <c r="E9" s="113"/>
      <c r="F9" s="69"/>
    </row>
    <row r="10" ht="24.95" customHeight="true" spans="3:6">
      <c r="C10" s="97">
        <v>2</v>
      </c>
      <c r="D10" s="679" t="s">
        <v>816</v>
      </c>
      <c r="E10" s="113" t="e">
        <f>资本金现金流量!AN20</f>
        <v>#REF!</v>
      </c>
      <c r="F10" s="69"/>
    </row>
    <row r="11" ht="24.95" customHeight="true" spans="3:6">
      <c r="C11" s="97">
        <v>3</v>
      </c>
      <c r="D11" s="679" t="s">
        <v>817</v>
      </c>
      <c r="E11" s="113" t="e">
        <f>资本金现金流量!AN22+资本金现金流量!AN23</f>
        <v>#REF!</v>
      </c>
      <c r="F11" s="69"/>
    </row>
    <row r="12" ht="24.95" customHeight="true" spans="3:6">
      <c r="C12" s="97">
        <v>4</v>
      </c>
      <c r="D12" s="679" t="s">
        <v>818</v>
      </c>
      <c r="E12" s="113" t="e">
        <f>资本金现金流量!AN18</f>
        <v>#REF!</v>
      </c>
      <c r="F12" s="69"/>
    </row>
    <row r="13" ht="24.95" customHeight="true" spans="3:6">
      <c r="C13" s="97"/>
      <c r="D13" s="679" t="s">
        <v>819</v>
      </c>
      <c r="E13" s="113" t="e">
        <f>'总表 (2)'!J33</f>
        <v>#REF!</v>
      </c>
      <c r="F13" s="69"/>
    </row>
    <row r="14" ht="24.95" customHeight="true" spans="3:6">
      <c r="C14" s="97"/>
      <c r="D14" s="106"/>
      <c r="E14" s="113"/>
      <c r="F14" s="69"/>
    </row>
    <row r="15" ht="24.95" customHeight="true" spans="3:6">
      <c r="C15" s="97"/>
      <c r="D15" s="679" t="s">
        <v>820</v>
      </c>
      <c r="E15" s="113" t="e">
        <f>E8+E10+E11+E12+E14</f>
        <v>#REF!</v>
      </c>
      <c r="F15" s="69"/>
    </row>
    <row r="16" ht="24.95" customHeight="true" spans="3:5">
      <c r="C16" s="97" t="s">
        <v>36</v>
      </c>
      <c r="D16" s="679" t="s">
        <v>821</v>
      </c>
      <c r="E16" s="113" t="e">
        <f>E6-E15</f>
        <v>#REF!</v>
      </c>
    </row>
    <row r="18" spans="4:4">
      <c r="D18" s="94"/>
    </row>
    <row r="21" ht="21" spans="6:6">
      <c r="F21" s="95"/>
    </row>
    <row r="22" ht="21" hidden="true" customHeight="true" spans="3:6">
      <c r="C22" s="96" t="s">
        <v>822</v>
      </c>
      <c r="D22" s="96"/>
      <c r="E22" s="96"/>
      <c r="F22" s="96"/>
    </row>
    <row r="23" hidden="true"/>
    <row r="24" ht="18.75" hidden="true" spans="3:7">
      <c r="C24" s="107" t="s">
        <v>2</v>
      </c>
      <c r="D24" s="108" t="s">
        <v>475</v>
      </c>
      <c r="E24" s="107"/>
      <c r="F24" s="108" t="s">
        <v>823</v>
      </c>
      <c r="G24" s="78"/>
    </row>
    <row r="25" ht="18.75" hidden="true" spans="3:7">
      <c r="C25" s="99">
        <v>1</v>
      </c>
      <c r="D25" s="100" t="s">
        <v>661</v>
      </c>
      <c r="E25" s="99"/>
      <c r="F25" s="115"/>
      <c r="G25" s="78"/>
    </row>
    <row r="26" ht="18.75" hidden="true" spans="3:7">
      <c r="C26" s="99">
        <v>1.1</v>
      </c>
      <c r="D26" s="100" t="s">
        <v>824</v>
      </c>
      <c r="E26" s="99"/>
      <c r="F26" s="115" t="e">
        <f>现金流量!M38</f>
        <v>#VALUE!</v>
      </c>
      <c r="G26" s="78"/>
    </row>
    <row r="27" ht="18.75" hidden="true" spans="3:7">
      <c r="C27" s="99">
        <v>1.2</v>
      </c>
      <c r="D27" s="100" t="s">
        <v>825</v>
      </c>
      <c r="E27" s="99"/>
      <c r="F27" s="115" t="e">
        <f>现金流量!M29</f>
        <v>#VALUE!</v>
      </c>
      <c r="G27" s="78"/>
    </row>
    <row r="28" ht="18.75" hidden="true" spans="3:7">
      <c r="C28" s="99">
        <v>1.3</v>
      </c>
      <c r="D28" s="100" t="s">
        <v>826</v>
      </c>
      <c r="E28" s="99"/>
      <c r="F28" s="115" t="e">
        <f>资本金现金流量!M41</f>
        <v>#VALUE!</v>
      </c>
      <c r="G28" s="78"/>
    </row>
    <row r="29" ht="18.75" hidden="true" spans="3:7">
      <c r="C29" s="99">
        <v>1.4</v>
      </c>
      <c r="D29" s="100" t="s">
        <v>827</v>
      </c>
      <c r="E29" s="99"/>
      <c r="F29" s="115" t="e">
        <f>资本金现金流量!M32</f>
        <v>#VALUE!</v>
      </c>
      <c r="G29" s="78"/>
    </row>
    <row r="30" ht="18.75" hidden="true" spans="3:7">
      <c r="C30" s="99">
        <v>2</v>
      </c>
      <c r="D30" s="100" t="s">
        <v>828</v>
      </c>
      <c r="E30" s="99"/>
      <c r="F30" s="98"/>
      <c r="G30" s="78"/>
    </row>
    <row r="31" ht="18.75" hidden="true" spans="3:6">
      <c r="C31" s="99">
        <v>2.1</v>
      </c>
      <c r="D31" s="100" t="s">
        <v>829</v>
      </c>
      <c r="E31" s="99"/>
      <c r="F31" s="116" t="e">
        <f>现金流量!M41</f>
        <v>#REF!</v>
      </c>
    </row>
    <row r="32" ht="18.75" hidden="true" spans="3:6">
      <c r="C32" s="99">
        <v>2.2</v>
      </c>
      <c r="D32" s="100" t="s">
        <v>830</v>
      </c>
      <c r="E32" s="99"/>
      <c r="F32" s="116" t="e">
        <f>现金流量!M31</f>
        <v>#REF!</v>
      </c>
    </row>
    <row r="33" ht="18.75" hidden="true" spans="3:6">
      <c r="C33" s="109">
        <v>3</v>
      </c>
      <c r="D33" s="110" t="s">
        <v>831</v>
      </c>
      <c r="E33" s="109"/>
      <c r="F33" s="117"/>
    </row>
    <row r="34" ht="18.75" hidden="true" spans="3:6">
      <c r="C34" s="109">
        <v>3.1</v>
      </c>
      <c r="D34" s="100" t="s">
        <v>829</v>
      </c>
      <c r="E34" s="109"/>
      <c r="F34" s="117" t="e">
        <f>现金流量!M43</f>
        <v>#REF!</v>
      </c>
    </row>
    <row r="35" ht="18.75" hidden="true" spans="3:6">
      <c r="C35" s="109">
        <v>3.2</v>
      </c>
      <c r="D35" s="100" t="s">
        <v>830</v>
      </c>
      <c r="E35" s="109"/>
      <c r="F35" s="117" t="e">
        <f>现金流量!M30</f>
        <v>#REF!</v>
      </c>
    </row>
    <row r="36" ht="18.75" hidden="true" spans="3:6">
      <c r="C36" s="109">
        <v>4</v>
      </c>
      <c r="D36" s="110" t="s">
        <v>832</v>
      </c>
      <c r="E36" s="109"/>
      <c r="F36" s="118" t="e">
        <f>损益表!AH40/'总表 (2)'!J39</f>
        <v>#REF!</v>
      </c>
    </row>
    <row r="37" ht="18.75" hidden="true" spans="3:6">
      <c r="C37" s="109">
        <v>5</v>
      </c>
      <c r="D37" s="110" t="s">
        <v>833</v>
      </c>
      <c r="E37" s="109"/>
      <c r="F37" s="118" t="e">
        <f>损益表!AH41/财务计划!AN29</f>
        <v>#REF!</v>
      </c>
    </row>
    <row r="38" ht="19.5" hidden="true" spans="3:6">
      <c r="C38" s="111">
        <v>6</v>
      </c>
      <c r="D38" s="112" t="s">
        <v>805</v>
      </c>
      <c r="E38" s="111"/>
      <c r="F38" s="119" t="e">
        <f>借款偿还!J22</f>
        <v>#REF!</v>
      </c>
    </row>
    <row r="39" hidden="true"/>
    <row r="40" hidden="true"/>
  </sheetData>
  <mergeCells count="1">
    <mergeCell ref="C22:F22"/>
  </mergeCells>
  <pageMargins left="1.67" right="0.23" top="0.53" bottom="0.31" header="0.37" footer="0.17"/>
  <pageSetup paperSize="9" orientation="portrait" horizontalDpi="36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2:Q39"/>
  <sheetViews>
    <sheetView showGridLines="0" showZeros="0" workbookViewId="0">
      <selection activeCell="H113" sqref="H113"/>
    </sheetView>
  </sheetViews>
  <sheetFormatPr defaultColWidth="10" defaultRowHeight="15.75"/>
  <cols>
    <col min="1" max="1" width="4.5" style="45" customWidth="true"/>
    <col min="2" max="2" width="10" style="45" hidden="true" customWidth="true"/>
    <col min="3" max="3" width="9.75" style="45" hidden="true" customWidth="true"/>
    <col min="4" max="6" width="9.875" style="45" hidden="true" customWidth="true"/>
    <col min="7" max="9" width="10.75" style="45" hidden="true" customWidth="true"/>
    <col min="10" max="10" width="11.375" style="45" hidden="true" customWidth="true"/>
    <col min="11" max="11" width="16.25" style="45" hidden="true" customWidth="true"/>
    <col min="12" max="12" width="10" style="45" customWidth="true"/>
    <col min="13" max="13" width="7.5" style="45" customWidth="true"/>
    <col min="14" max="14" width="30.75" style="45" customWidth="true"/>
    <col min="15" max="15" width="20.5" style="45" customWidth="true"/>
    <col min="16" max="16" width="25.875" style="45" customWidth="true"/>
    <col min="17" max="16384" width="10" style="45"/>
  </cols>
  <sheetData>
    <row r="2" hidden="true" spans="2:16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idden="true" spans="2:16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hidden="true" spans="2:16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hidden="true" spans="2:16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hidden="true" spans="2:16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hidden="true" spans="2:16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hidden="true" spans="2:16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hidden="true" spans="2:16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hidden="true" spans="2:16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hidden="true" spans="2:16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hidden="true" spans="2:16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hidden="true" spans="2:16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hidden="true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hidden="true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hidden="true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hidden="true" spans="7:10">
      <c r="G17" s="68"/>
      <c r="H17" s="68"/>
      <c r="I17" s="68"/>
      <c r="J17" s="68"/>
    </row>
    <row r="18" hidden="true" spans="14:14">
      <c r="N18" s="94"/>
    </row>
    <row r="19" hidden="true"/>
    <row r="20" hidden="true" spans="7:7">
      <c r="G20" s="69"/>
    </row>
    <row r="21" ht="21" spans="7:16">
      <c r="G21" s="69"/>
      <c r="P21" s="95"/>
    </row>
    <row r="22" ht="21" customHeight="true" spans="7:16">
      <c r="G22" s="69"/>
      <c r="M22" s="96" t="s">
        <v>822</v>
      </c>
      <c r="N22" s="96"/>
      <c r="O22" s="96"/>
      <c r="P22" s="96"/>
    </row>
    <row r="23" ht="24.95" customHeight="true" spans="7:7">
      <c r="G23" s="69"/>
    </row>
    <row r="24" ht="24.95" customHeight="true" spans="7:17">
      <c r="G24" s="69"/>
      <c r="M24" s="97" t="s">
        <v>2</v>
      </c>
      <c r="N24" s="98" t="s">
        <v>475</v>
      </c>
      <c r="O24" s="99"/>
      <c r="P24" s="97" t="s">
        <v>823</v>
      </c>
      <c r="Q24" s="78"/>
    </row>
    <row r="25" ht="24.95" customHeight="true" spans="7:17">
      <c r="G25" s="69"/>
      <c r="M25" s="97">
        <v>1</v>
      </c>
      <c r="N25" s="100" t="s">
        <v>661</v>
      </c>
      <c r="O25" s="99"/>
      <c r="P25" s="101"/>
      <c r="Q25" s="78"/>
    </row>
    <row r="26" ht="24.95" customHeight="true" spans="7:17">
      <c r="G26" s="69"/>
      <c r="M26" s="97">
        <v>1.1</v>
      </c>
      <c r="N26" s="100" t="s">
        <v>824</v>
      </c>
      <c r="O26" s="99"/>
      <c r="P26" s="101" t="e">
        <f>现金流量!M38</f>
        <v>#VALUE!</v>
      </c>
      <c r="Q26" s="78"/>
    </row>
    <row r="27" ht="24.95" customHeight="true" spans="7:17">
      <c r="G27" s="69"/>
      <c r="M27" s="97">
        <v>1.2</v>
      </c>
      <c r="N27" s="100" t="s">
        <v>825</v>
      </c>
      <c r="O27" s="99"/>
      <c r="P27" s="101" t="e">
        <f>现金流量!M29</f>
        <v>#VALUE!</v>
      </c>
      <c r="Q27" s="78"/>
    </row>
    <row r="28" ht="24.95" customHeight="true" spans="7:17">
      <c r="G28" s="69"/>
      <c r="M28" s="97">
        <v>1.3</v>
      </c>
      <c r="N28" s="100" t="s">
        <v>826</v>
      </c>
      <c r="O28" s="99"/>
      <c r="P28" s="101" t="e">
        <f>资本金现金流量!M41</f>
        <v>#VALUE!</v>
      </c>
      <c r="Q28" s="78"/>
    </row>
    <row r="29" ht="24.95" customHeight="true" spans="7:17">
      <c r="G29" s="69"/>
      <c r="M29" s="97">
        <v>1.4</v>
      </c>
      <c r="N29" s="100" t="s">
        <v>827</v>
      </c>
      <c r="O29" s="99"/>
      <c r="P29" s="101" t="e">
        <f>资本金现金流量!M32</f>
        <v>#VALUE!</v>
      </c>
      <c r="Q29" s="78"/>
    </row>
    <row r="30" ht="24.95" customHeight="true" spans="7:17">
      <c r="G30" s="69"/>
      <c r="M30" s="97">
        <v>2</v>
      </c>
      <c r="N30" s="100" t="s">
        <v>828</v>
      </c>
      <c r="O30" s="99"/>
      <c r="P30" s="97"/>
      <c r="Q30" s="78"/>
    </row>
    <row r="31" ht="24.95" customHeight="true" spans="7:16">
      <c r="G31" s="69"/>
      <c r="M31" s="97">
        <v>2.1</v>
      </c>
      <c r="N31" s="100" t="s">
        <v>829</v>
      </c>
      <c r="O31" s="99"/>
      <c r="P31" s="102" t="e">
        <f>现金流量!M41</f>
        <v>#REF!</v>
      </c>
    </row>
    <row r="32" ht="24.95" customHeight="true" spans="7:16">
      <c r="G32" s="69"/>
      <c r="M32" s="97">
        <v>2.2</v>
      </c>
      <c r="N32" s="100" t="s">
        <v>830</v>
      </c>
      <c r="O32" s="99"/>
      <c r="P32" s="102" t="e">
        <f>现金流量!M31</f>
        <v>#REF!</v>
      </c>
    </row>
    <row r="33" ht="24.95" customHeight="true" spans="13:16">
      <c r="M33" s="97">
        <v>3</v>
      </c>
      <c r="N33" s="100" t="s">
        <v>831</v>
      </c>
      <c r="O33" s="99"/>
      <c r="P33" s="102"/>
    </row>
    <row r="34" ht="24.95" customHeight="true" spans="13:16">
      <c r="M34" s="97">
        <v>3.1</v>
      </c>
      <c r="N34" s="100" t="s">
        <v>829</v>
      </c>
      <c r="O34" s="99"/>
      <c r="P34" s="102" t="e">
        <f>现金流量!M43</f>
        <v>#REF!</v>
      </c>
    </row>
    <row r="35" ht="24.95" customHeight="true" spans="13:16">
      <c r="M35" s="97">
        <v>3.2</v>
      </c>
      <c r="N35" s="100" t="s">
        <v>830</v>
      </c>
      <c r="O35" s="99"/>
      <c r="P35" s="102" t="e">
        <f>现金流量!M30</f>
        <v>#REF!</v>
      </c>
    </row>
    <row r="36" ht="24.95" customHeight="true" spans="13:16">
      <c r="M36" s="97">
        <v>4</v>
      </c>
      <c r="N36" s="100" t="s">
        <v>832</v>
      </c>
      <c r="O36" s="99"/>
      <c r="P36" s="103" t="e">
        <f>损益表!AH40/'总表 (2)'!J39</f>
        <v>#REF!</v>
      </c>
    </row>
    <row r="37" ht="24.95" customHeight="true" spans="13:16">
      <c r="M37" s="97">
        <v>5</v>
      </c>
      <c r="N37" s="100" t="s">
        <v>833</v>
      </c>
      <c r="O37" s="99"/>
      <c r="P37" s="103" t="e">
        <f>损益表!AH41/财务计划!AN29</f>
        <v>#REF!</v>
      </c>
    </row>
    <row r="38" ht="24.95" hidden="true" customHeight="true" spans="13:16">
      <c r="M38" s="97">
        <v>6</v>
      </c>
      <c r="N38" s="100" t="s">
        <v>805</v>
      </c>
      <c r="O38" s="99"/>
      <c r="P38" s="102" t="e">
        <f>借款偿还!J22</f>
        <v>#REF!</v>
      </c>
    </row>
    <row r="39" ht="24.95" customHeight="true"/>
  </sheetData>
  <mergeCells count="1">
    <mergeCell ref="M22:P22"/>
  </mergeCells>
  <pageMargins left="1.09" right="0.23" top="0.53" bottom="0.31" header="0.37" footer="0.17"/>
  <pageSetup paperSize="9" orientation="portrait" horizontalDpi="36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41"/>
  <sheetViews>
    <sheetView zoomScale="75" zoomScaleNormal="75" workbookViewId="0">
      <selection activeCell="H113" sqref="H113"/>
    </sheetView>
  </sheetViews>
  <sheetFormatPr defaultColWidth="10" defaultRowHeight="14.25"/>
  <cols>
    <col min="1" max="1" width="3.375" style="82" customWidth="true"/>
    <col min="2" max="2" width="9.75" style="82" customWidth="true"/>
    <col min="3" max="3" width="19.875" style="82" customWidth="true"/>
    <col min="4" max="4" width="22.625" style="82" customWidth="true"/>
    <col min="5" max="5" width="11" style="82" customWidth="true"/>
    <col min="6" max="6" width="11.625" style="82" customWidth="true"/>
    <col min="7" max="7" width="12.5" style="82" customWidth="true"/>
    <col min="8" max="8" width="7.375" style="82" customWidth="true"/>
    <col min="9" max="9" width="11.5" style="82" customWidth="true"/>
    <col min="10" max="12" width="10" style="82"/>
    <col min="13" max="13" width="11.25" style="82" customWidth="true"/>
    <col min="14" max="14" width="10" style="82" customWidth="true"/>
    <col min="15" max="15" width="10" style="82"/>
    <col min="16" max="16" width="8.875" style="82" customWidth="true"/>
    <col min="17" max="17" width="10" style="82"/>
    <col min="18" max="18" width="10" style="82" customWidth="true"/>
    <col min="19" max="16384" width="10" style="82"/>
  </cols>
  <sheetData>
    <row r="2" ht="25.5" customHeight="true" spans="5:10">
      <c r="E2" s="86" t="s">
        <v>834</v>
      </c>
      <c r="F2" s="87"/>
      <c r="G2" s="87"/>
      <c r="J2" s="87"/>
    </row>
    <row r="3" s="79" customFormat="true" ht="21" customHeight="true" spans="4:7">
      <c r="D3" s="83" t="s">
        <v>835</v>
      </c>
      <c r="E3" s="83" t="s">
        <v>836</v>
      </c>
      <c r="F3" s="83" t="s">
        <v>651</v>
      </c>
      <c r="G3" s="83" t="s">
        <v>520</v>
      </c>
    </row>
    <row r="4" s="80" customFormat="true" ht="21" customHeight="true" spans="4:7">
      <c r="D4" s="84">
        <v>-0.2</v>
      </c>
      <c r="E4" s="88" t="e">
        <f>现金流量!C61</f>
        <v>#VALUE!</v>
      </c>
      <c r="F4" s="88" t="e">
        <f>现金流量!C73</f>
        <v>#VALUE!</v>
      </c>
      <c r="G4" s="88" t="e">
        <f>现金流量!C49</f>
        <v>#VALUE!</v>
      </c>
    </row>
    <row r="5" s="81" customFormat="true" ht="21" customHeight="true" spans="4:7">
      <c r="D5" s="680" t="s">
        <v>837</v>
      </c>
      <c r="E5" s="89" t="e">
        <f>现金流量!C58</f>
        <v>#VALUE!</v>
      </c>
      <c r="F5" s="89" t="e">
        <f>现金流量!C70</f>
        <v>#VALUE!</v>
      </c>
      <c r="G5" s="88" t="e">
        <f>现金流量!C46</f>
        <v>#VALUE!</v>
      </c>
    </row>
    <row r="6" s="81" customFormat="true" ht="21" customHeight="true" spans="4:7">
      <c r="D6" s="84">
        <v>0</v>
      </c>
      <c r="E6" s="89" t="e">
        <f>现金流量!$M$38</f>
        <v>#VALUE!</v>
      </c>
      <c r="F6" s="89" t="e">
        <f>现金流量!$M$38</f>
        <v>#VALUE!</v>
      </c>
      <c r="G6" s="89" t="e">
        <f>现金流量!$M$38</f>
        <v>#VALUE!</v>
      </c>
    </row>
    <row r="7" s="81" customFormat="true" ht="21" customHeight="true" spans="4:7">
      <c r="D7" s="680" t="s">
        <v>838</v>
      </c>
      <c r="E7" s="89" t="e">
        <f>现金流量!C64</f>
        <v>#VALUE!</v>
      </c>
      <c r="F7" s="89" t="e">
        <f>现金流量!C76</f>
        <v>#VALUE!</v>
      </c>
      <c r="G7" s="88" t="e">
        <f>现金流量!C52</f>
        <v>#VALUE!</v>
      </c>
    </row>
    <row r="8" s="81" customFormat="true" ht="20.25" customHeight="true" spans="4:7">
      <c r="D8" s="680" t="s">
        <v>839</v>
      </c>
      <c r="E8" s="88" t="e">
        <f>现金流量!C67</f>
        <v>#VALUE!</v>
      </c>
      <c r="F8" s="89" t="e">
        <f>现金流量!C79</f>
        <v>#VALUE!</v>
      </c>
      <c r="G8" s="88" t="e">
        <f>现金流量!C55</f>
        <v>#VALUE!</v>
      </c>
    </row>
    <row r="9" ht="7.5" customHeight="true"/>
    <row r="10" ht="15.95" customHeight="true"/>
    <row r="11" ht="15.95" customHeight="true"/>
    <row r="12" ht="15.95" customHeight="true" spans="1:1">
      <c r="A12" s="85"/>
    </row>
    <row r="13" ht="15.95" customHeight="true" spans="1:1">
      <c r="A13" s="85"/>
    </row>
    <row r="14" ht="15.95" customHeight="true"/>
    <row r="15" ht="15.95" customHeight="true"/>
    <row r="16" ht="15.95" customHeight="true"/>
    <row r="17" ht="15.95" customHeight="true"/>
    <row r="18" ht="15.95" customHeight="true"/>
    <row r="19" ht="15.95" customHeight="true"/>
    <row r="20" ht="15.95" customHeight="true"/>
    <row r="26" ht="20.1" customHeight="true"/>
    <row r="27" ht="20.1" customHeight="true"/>
    <row r="28" ht="20.1" customHeight="true" spans="5:7">
      <c r="E28" s="86" t="s">
        <v>840</v>
      </c>
      <c r="F28" s="87"/>
      <c r="G28" s="87"/>
    </row>
    <row r="29" ht="20.1" customHeight="true" spans="4:18">
      <c r="D29" s="83" t="s">
        <v>835</v>
      </c>
      <c r="E29" s="83" t="str">
        <f t="shared" ref="E29:G29" si="0">E3</f>
        <v>工程投资</v>
      </c>
      <c r="F29" s="83" t="str">
        <f t="shared" si="0"/>
        <v>经营成本</v>
      </c>
      <c r="G29" s="83" t="str">
        <f t="shared" si="0"/>
        <v>收费单价</v>
      </c>
      <c r="M29" s="91" t="e">
        <f t="shared" ref="M29:M33" si="1">E4-E$6</f>
        <v>#VALUE!</v>
      </c>
      <c r="N29" s="91" t="e">
        <f t="shared" ref="N29:N33" si="2">M29/E$6</f>
        <v>#VALUE!</v>
      </c>
      <c r="O29" s="91" t="e">
        <f t="shared" ref="O29:O33" si="3">F4-F$6</f>
        <v>#VALUE!</v>
      </c>
      <c r="P29" s="91" t="e">
        <f t="shared" ref="P29:P33" si="4">O29/F$6</f>
        <v>#VALUE!</v>
      </c>
      <c r="Q29" s="91" t="e">
        <f t="shared" ref="Q29:Q33" si="5">G4-G$6</f>
        <v>#VALUE!</v>
      </c>
      <c r="R29" s="91" t="e">
        <f t="shared" ref="R29:R33" si="6">Q29/G$6</f>
        <v>#VALUE!</v>
      </c>
    </row>
    <row r="30" ht="20.1" customHeight="true" spans="4:18">
      <c r="D30" s="84">
        <v>-0.2</v>
      </c>
      <c r="E30" s="90" t="e">
        <f>N29/$D30</f>
        <v>#VALUE!</v>
      </c>
      <c r="F30" s="90" t="e">
        <f>P29/D30</f>
        <v>#VALUE!</v>
      </c>
      <c r="G30" s="90" t="e">
        <f>R29/$D30</f>
        <v>#VALUE!</v>
      </c>
      <c r="M30" s="91" t="e">
        <f t="shared" si="1"/>
        <v>#VALUE!</v>
      </c>
      <c r="N30" s="91" t="e">
        <f t="shared" si="2"/>
        <v>#VALUE!</v>
      </c>
      <c r="O30" s="91" t="e">
        <f t="shared" si="3"/>
        <v>#VALUE!</v>
      </c>
      <c r="P30" s="91" t="e">
        <f t="shared" si="4"/>
        <v>#VALUE!</v>
      </c>
      <c r="Q30" s="91" t="e">
        <f t="shared" si="5"/>
        <v>#VALUE!</v>
      </c>
      <c r="R30" s="91" t="e">
        <f t="shared" si="6"/>
        <v>#VALUE!</v>
      </c>
    </row>
    <row r="31" ht="20.1" customHeight="true" spans="4:18">
      <c r="D31" s="680" t="s">
        <v>837</v>
      </c>
      <c r="E31" s="90" t="e">
        <f>N30/$D31</f>
        <v>#VALUE!</v>
      </c>
      <c r="F31" s="90" t="e">
        <f>P30/D31</f>
        <v>#VALUE!</v>
      </c>
      <c r="G31" s="90" t="e">
        <f>R30/$D31</f>
        <v>#VALUE!</v>
      </c>
      <c r="N31" s="91"/>
      <c r="O31" s="91"/>
      <c r="P31" s="91"/>
      <c r="Q31" s="91"/>
      <c r="R31" s="91"/>
    </row>
    <row r="32" ht="20.1" customHeight="true" spans="4:18">
      <c r="D32" s="680" t="s">
        <v>838</v>
      </c>
      <c r="E32" s="90" t="e">
        <f>N32/$D32</f>
        <v>#VALUE!</v>
      </c>
      <c r="F32" s="90" t="e">
        <f>P32/D32</f>
        <v>#VALUE!</v>
      </c>
      <c r="G32" s="90" t="e">
        <f>R32/$D32</f>
        <v>#VALUE!</v>
      </c>
      <c r="M32" s="91" t="e">
        <f t="shared" si="1"/>
        <v>#VALUE!</v>
      </c>
      <c r="N32" s="91" t="e">
        <f t="shared" si="2"/>
        <v>#VALUE!</v>
      </c>
      <c r="O32" s="91" t="e">
        <f t="shared" si="3"/>
        <v>#VALUE!</v>
      </c>
      <c r="P32" s="91" t="e">
        <f t="shared" si="4"/>
        <v>#VALUE!</v>
      </c>
      <c r="Q32" s="91" t="e">
        <f t="shared" si="5"/>
        <v>#VALUE!</v>
      </c>
      <c r="R32" s="91" t="e">
        <f t="shared" si="6"/>
        <v>#VALUE!</v>
      </c>
    </row>
    <row r="33" ht="20.1" customHeight="true" spans="4:18">
      <c r="D33" s="680" t="s">
        <v>839</v>
      </c>
      <c r="E33" s="90" t="e">
        <f>N33/$D33</f>
        <v>#VALUE!</v>
      </c>
      <c r="F33" s="90" t="e">
        <f>P33/D33</f>
        <v>#VALUE!</v>
      </c>
      <c r="G33" s="90" t="e">
        <f>R33/$D33</f>
        <v>#VALUE!</v>
      </c>
      <c r="M33" s="91" t="e">
        <f t="shared" si="1"/>
        <v>#VALUE!</v>
      </c>
      <c r="N33" s="91" t="e">
        <f t="shared" si="2"/>
        <v>#VALUE!</v>
      </c>
      <c r="O33" s="91" t="e">
        <f t="shared" si="3"/>
        <v>#VALUE!</v>
      </c>
      <c r="P33" s="91" t="e">
        <f t="shared" si="4"/>
        <v>#VALUE!</v>
      </c>
      <c r="Q33" s="91" t="e">
        <f t="shared" si="5"/>
        <v>#VALUE!</v>
      </c>
      <c r="R33" s="91" t="e">
        <f t="shared" si="6"/>
        <v>#VALUE!</v>
      </c>
    </row>
    <row r="34" ht="20.1" customHeight="true"/>
    <row r="35" ht="20.1" customHeight="true" spans="13:15">
      <c r="M35" s="92" t="e">
        <f t="shared" ref="M35:O35" si="7">AVERAGE(E30:E33)</f>
        <v>#VALUE!</v>
      </c>
      <c r="N35" s="92" t="e">
        <f t="shared" si="7"/>
        <v>#VALUE!</v>
      </c>
      <c r="O35" s="92" t="e">
        <f t="shared" si="7"/>
        <v>#VALUE!</v>
      </c>
    </row>
    <row r="36" spans="13:17">
      <c r="M36" s="93" t="e">
        <f t="shared" ref="M36:O36" si="8">ABS(M35)</f>
        <v>#VALUE!</v>
      </c>
      <c r="N36" s="93" t="e">
        <f t="shared" si="8"/>
        <v>#VALUE!</v>
      </c>
      <c r="O36" s="93" t="e">
        <f t="shared" si="8"/>
        <v>#VALUE!</v>
      </c>
      <c r="P36" s="93" t="e">
        <f>MAX(M36:O36)</f>
        <v>#VALUE!</v>
      </c>
      <c r="Q36" s="93" t="e">
        <f>MIN(M36:O36)</f>
        <v>#VALUE!</v>
      </c>
    </row>
    <row r="37" spans="13:13">
      <c r="M37" s="82" t="s">
        <v>841</v>
      </c>
    </row>
    <row r="38" spans="13:15">
      <c r="M38" s="82" t="e">
        <f>IF($M39=1,$E3,IF($N39=1,$F3,$G3))</f>
        <v>#VALUE!</v>
      </c>
      <c r="N38" s="82" t="e">
        <f>IF($M39=2,$E3,IF($N39=2,$F3,$G3))</f>
        <v>#VALUE!</v>
      </c>
      <c r="O38" s="82" t="e">
        <f>IF($M39=3,$E3,IF($N39=3,$F3,$G3))</f>
        <v>#VALUE!</v>
      </c>
    </row>
    <row r="39" spans="13:15">
      <c r="M39" s="82" t="e">
        <f t="shared" ref="M39:O39" si="9">IF(M36=$P36,1,IF(M36=$Q36,3,2))</f>
        <v>#VALUE!</v>
      </c>
      <c r="N39" s="82" t="e">
        <f t="shared" si="9"/>
        <v>#VALUE!</v>
      </c>
      <c r="O39" s="82" t="e">
        <f t="shared" si="9"/>
        <v>#VALUE!</v>
      </c>
    </row>
    <row r="40" spans="13:15">
      <c r="M40" s="82" t="s">
        <v>842</v>
      </c>
      <c r="N40" s="82" t="s">
        <v>843</v>
      </c>
      <c r="O40" s="82" t="s">
        <v>844</v>
      </c>
    </row>
    <row r="41" spans="13:15">
      <c r="M41" s="82" t="e">
        <f>IF($M39=1,M40,IF($N39=1,N40,O40))</f>
        <v>#VALUE!</v>
      </c>
      <c r="N41" s="82" t="e">
        <f>IF($M39=2,M40,IF($N39=2,N40,O40))</f>
        <v>#VALUE!</v>
      </c>
      <c r="O41" s="82" t="e">
        <f>IF($M39=3,M40,IF($N39=3,N40,O40))</f>
        <v>#VALUE!</v>
      </c>
    </row>
  </sheetData>
  <mergeCells count="1">
    <mergeCell ref="A12:A13"/>
  </mergeCells>
  <printOptions horizontalCentered="true"/>
  <pageMargins left="0.17" right="0.17" top="1.18110236220472" bottom="0.39" header="0.511811023622047" footer="0.24"/>
  <pageSetup paperSize="9"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39"/>
  <sheetViews>
    <sheetView showGridLines="0" showZeros="0" zoomScale="75" zoomScaleNormal="75" workbookViewId="0">
      <selection activeCell="K22" sqref="K22"/>
    </sheetView>
  </sheetViews>
  <sheetFormatPr defaultColWidth="10" defaultRowHeight="15.75"/>
  <cols>
    <col min="1" max="1" width="4.5" style="45" customWidth="true"/>
    <col min="2" max="2" width="10" style="45" customWidth="true"/>
    <col min="3" max="3" width="9.75" style="45" customWidth="true"/>
    <col min="4" max="6" width="9.875" style="45" customWidth="true"/>
    <col min="7" max="7" width="10.75" style="45" customWidth="true"/>
    <col min="8" max="8" width="13.625" style="45" customWidth="true"/>
    <col min="9" max="9" width="13.5" style="45" customWidth="true"/>
    <col min="10" max="10" width="15.25" style="45" customWidth="true"/>
    <col min="11" max="11" width="16.25" style="45" customWidth="true"/>
    <col min="12" max="12" width="10" style="45" customWidth="true"/>
    <col min="13" max="16384" width="10" style="45"/>
  </cols>
  <sheetData>
    <row r="2" ht="25.15" customHeight="true" spans="2:11">
      <c r="B2" s="46" t="s">
        <v>845</v>
      </c>
      <c r="C2" s="47"/>
      <c r="D2" s="47"/>
      <c r="E2" s="47"/>
      <c r="F2" s="47"/>
      <c r="G2" s="47"/>
      <c r="H2" s="47"/>
      <c r="I2" s="47"/>
      <c r="J2" s="47"/>
      <c r="K2" s="47"/>
    </row>
    <row r="3" ht="25.15" customHeight="true" spans="2:11">
      <c r="B3" s="48"/>
      <c r="C3" s="49"/>
      <c r="D3" s="49"/>
      <c r="E3" s="49"/>
      <c r="F3" s="49"/>
      <c r="G3" s="49"/>
      <c r="H3" s="49"/>
      <c r="I3" s="49"/>
      <c r="J3" s="49"/>
      <c r="K3" s="70" t="s">
        <v>846</v>
      </c>
    </row>
    <row r="4" ht="25.15" customHeight="true" spans="2:11">
      <c r="B4" s="50"/>
      <c r="C4" s="50"/>
      <c r="D4" s="51" t="s">
        <v>618</v>
      </c>
      <c r="E4" s="51"/>
      <c r="F4" s="51"/>
      <c r="G4" s="60"/>
      <c r="H4" s="60"/>
      <c r="I4" s="60"/>
      <c r="J4" s="60"/>
      <c r="K4" s="71"/>
    </row>
    <row r="5" ht="25.15" customHeight="true" spans="2:11">
      <c r="B5" s="52"/>
      <c r="C5" s="52" t="s">
        <v>300</v>
      </c>
      <c r="D5" s="53"/>
      <c r="E5" s="61">
        <f t="shared" ref="E5:I5" si="0">F5-1</f>
        <v>-3</v>
      </c>
      <c r="F5" s="61">
        <f t="shared" si="0"/>
        <v>-2</v>
      </c>
      <c r="G5" s="61">
        <f t="shared" si="0"/>
        <v>-1</v>
      </c>
      <c r="H5" s="61">
        <f t="shared" si="0"/>
        <v>0</v>
      </c>
      <c r="I5" s="61">
        <f t="shared" si="0"/>
        <v>1</v>
      </c>
      <c r="J5" s="61">
        <f>'总表 (2)'!D42</f>
        <v>2</v>
      </c>
      <c r="K5" s="72" t="s">
        <v>305</v>
      </c>
    </row>
    <row r="6" ht="25.15" customHeight="true" spans="2:11">
      <c r="B6" s="54" t="s">
        <v>296</v>
      </c>
      <c r="C6" s="54"/>
      <c r="D6" s="55"/>
      <c r="E6" s="55"/>
      <c r="F6" s="55"/>
      <c r="G6" s="62"/>
      <c r="H6" s="62"/>
      <c r="I6" s="62"/>
      <c r="J6" s="62"/>
      <c r="K6" s="73"/>
    </row>
    <row r="7" ht="25.15" customHeight="true" spans="2:11">
      <c r="B7" s="56" t="s">
        <v>847</v>
      </c>
      <c r="C7" s="56"/>
      <c r="D7" s="57"/>
      <c r="E7" s="57"/>
      <c r="F7" s="57"/>
      <c r="G7" s="63"/>
      <c r="H7" s="64" t="e">
        <f>利息!F13</f>
        <v>#REF!</v>
      </c>
      <c r="I7" s="64" t="e">
        <f>利息!G13</f>
        <v>#REF!</v>
      </c>
      <c r="J7" s="64" t="e">
        <f>利息!H13</f>
        <v>#REF!</v>
      </c>
      <c r="K7" s="74" t="e">
        <f t="shared" ref="K7:K12" si="1">SUM(G7:J7)</f>
        <v>#REF!</v>
      </c>
    </row>
    <row r="8" ht="25.15" customHeight="true" spans="2:11">
      <c r="B8" s="56" t="s">
        <v>848</v>
      </c>
      <c r="C8" s="56"/>
      <c r="D8" s="57"/>
      <c r="E8" s="57"/>
      <c r="F8" s="57"/>
      <c r="G8" s="65"/>
      <c r="H8" s="64" t="e">
        <f t="shared" ref="H8:J8" si="2">SUM(H9:H11)</f>
        <v>#REF!</v>
      </c>
      <c r="I8" s="64" t="e">
        <f t="shared" si="2"/>
        <v>#REF!</v>
      </c>
      <c r="J8" s="64" t="e">
        <f t="shared" si="2"/>
        <v>#REF!</v>
      </c>
      <c r="K8" s="74" t="e">
        <f t="shared" si="1"/>
        <v>#REF!</v>
      </c>
    </row>
    <row r="9" ht="25.15" customHeight="true" spans="2:11">
      <c r="B9" s="56" t="s">
        <v>849</v>
      </c>
      <c r="C9" s="56"/>
      <c r="D9" s="57"/>
      <c r="E9" s="57"/>
      <c r="F9" s="57"/>
      <c r="G9" s="65"/>
      <c r="H9" s="64" t="e">
        <f>利息!F11</f>
        <v>#REF!</v>
      </c>
      <c r="I9" s="64" t="e">
        <f>利息!G11</f>
        <v>#REF!</v>
      </c>
      <c r="J9" s="64" t="e">
        <f>利息!H11</f>
        <v>#REF!</v>
      </c>
      <c r="K9" s="75" t="e">
        <f t="shared" si="1"/>
        <v>#REF!</v>
      </c>
    </row>
    <row r="10" ht="25.15" customHeight="true" spans="2:11">
      <c r="B10" s="56" t="s">
        <v>850</v>
      </c>
      <c r="C10" s="56"/>
      <c r="D10" s="57"/>
      <c r="E10" s="57"/>
      <c r="F10" s="57"/>
      <c r="G10" s="65"/>
      <c r="H10" s="64" t="e">
        <f>利息!F19-利息!F11</f>
        <v>#REF!</v>
      </c>
      <c r="I10" s="64" t="e">
        <f>利息!G19-利息!G11</f>
        <v>#REF!</v>
      </c>
      <c r="J10" s="64" t="e">
        <f>利息!H19-利息!H11</f>
        <v>#REF!</v>
      </c>
      <c r="K10" s="75" t="e">
        <f t="shared" si="1"/>
        <v>#REF!</v>
      </c>
    </row>
    <row r="11" ht="25.15" customHeight="true" spans="2:11">
      <c r="B11" s="56" t="s">
        <v>585</v>
      </c>
      <c r="C11" s="56"/>
      <c r="D11" s="57"/>
      <c r="E11" s="57"/>
      <c r="F11" s="57"/>
      <c r="G11" s="65"/>
      <c r="H11" s="65"/>
      <c r="I11" s="64"/>
      <c r="J11" s="64" t="e">
        <f>成本!D31</f>
        <v>#REF!</v>
      </c>
      <c r="K11" s="75" t="e">
        <f t="shared" si="1"/>
        <v>#REF!</v>
      </c>
    </row>
    <row r="12" ht="25.15" customHeight="true" spans="2:11">
      <c r="B12" s="58" t="s">
        <v>305</v>
      </c>
      <c r="C12" s="58"/>
      <c r="D12" s="59"/>
      <c r="E12" s="59"/>
      <c r="F12" s="59"/>
      <c r="G12" s="66">
        <f>SUM(G8:G11)</f>
        <v>0</v>
      </c>
      <c r="H12" s="67" t="e">
        <f t="shared" ref="H12:J12" si="3">H7+H8</f>
        <v>#REF!</v>
      </c>
      <c r="I12" s="67" t="e">
        <f t="shared" si="3"/>
        <v>#REF!</v>
      </c>
      <c r="J12" s="67" t="e">
        <f t="shared" si="3"/>
        <v>#REF!</v>
      </c>
      <c r="K12" s="76" t="e">
        <f t="shared" si="1"/>
        <v>#REF!</v>
      </c>
    </row>
    <row r="13" spans="11:11">
      <c r="K13" s="68"/>
    </row>
    <row r="15" spans="10:10">
      <c r="J15" s="77"/>
    </row>
    <row r="17" spans="7:10">
      <c r="G17" s="68"/>
      <c r="H17" s="68"/>
      <c r="I17" s="68"/>
      <c r="J17" s="68"/>
    </row>
    <row r="20" spans="7:7">
      <c r="G20" s="69"/>
    </row>
    <row r="21" spans="7:7">
      <c r="G21" s="69"/>
    </row>
    <row r="22" ht="21" customHeight="true" spans="7:7">
      <c r="G22" s="69"/>
    </row>
    <row r="23" spans="7:7">
      <c r="G23" s="69"/>
    </row>
    <row r="24" ht="24.95" customHeight="true" spans="7:13">
      <c r="G24" s="69"/>
      <c r="M24" s="78"/>
    </row>
    <row r="25" ht="24.95" customHeight="true" spans="7:13">
      <c r="G25" s="69"/>
      <c r="M25" s="78"/>
    </row>
    <row r="26" ht="24.95" customHeight="true" spans="7:13">
      <c r="G26" s="69"/>
      <c r="M26" s="78"/>
    </row>
    <row r="27" ht="24.95" customHeight="true" spans="7:13">
      <c r="G27" s="69"/>
      <c r="M27" s="78"/>
    </row>
    <row r="28" ht="24.95" customHeight="true" spans="7:13">
      <c r="G28" s="69"/>
      <c r="M28" s="78"/>
    </row>
    <row r="29" ht="24.95" customHeight="true" spans="7:13">
      <c r="G29" s="69"/>
      <c r="M29" s="78"/>
    </row>
    <row r="30" ht="24.95" customHeight="true" spans="7:13">
      <c r="G30" s="69"/>
      <c r="M30" s="78"/>
    </row>
    <row r="31" ht="24.95" customHeight="true" spans="7:7">
      <c r="G31" s="69"/>
    </row>
    <row r="32" ht="24.95" customHeight="true" spans="7:7">
      <c r="G32" s="69"/>
    </row>
    <row r="33" ht="24.95" customHeight="true"/>
    <row r="34" ht="24.95" customHeight="true"/>
    <row r="35" ht="24.95" customHeight="true"/>
    <row r="36" ht="24.95" customHeight="true"/>
    <row r="37" ht="24.95" customHeight="true"/>
    <row r="38" ht="24.95" customHeight="true"/>
    <row r="39" ht="24.95" customHeight="true"/>
  </sheetData>
  <pageMargins left="1.09" right="0.23" top="0.6" bottom="0.31" header="0.37" footer="0.17"/>
  <pageSetup paperSize="9" orientation="portrait" horizontalDpi="36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8"/>
  </sheetPr>
  <dimension ref="B1:AN33"/>
  <sheetViews>
    <sheetView showZeros="0" topLeftCell="C1" workbookViewId="0">
      <selection activeCell="K22" sqref="K22"/>
    </sheetView>
  </sheetViews>
  <sheetFormatPr defaultColWidth="10" defaultRowHeight="10.5"/>
  <cols>
    <col min="1" max="1" width="2.125" style="2" customWidth="true"/>
    <col min="2" max="2" width="3.5" style="2" customWidth="true"/>
    <col min="3" max="3" width="16.125" style="2" customWidth="true"/>
    <col min="4" max="5" width="8.125" style="2" hidden="true" customWidth="true"/>
    <col min="6" max="6" width="6.625" style="2" hidden="true" customWidth="true"/>
    <col min="7" max="7" width="6.875" style="2" customWidth="true"/>
    <col min="8" max="9" width="6.625" style="2" customWidth="true"/>
    <col min="10" max="10" width="6.875" style="2" customWidth="true"/>
    <col min="11" max="11" width="5.75" style="2" customWidth="true"/>
    <col min="12" max="12" width="5.875" style="2" customWidth="true"/>
    <col min="13" max="13" width="6" style="2" customWidth="true"/>
    <col min="14" max="14" width="5.875" style="2" customWidth="true"/>
    <col min="15" max="15" width="5.75" style="2" customWidth="true"/>
    <col min="16" max="16" width="6.25" style="2" customWidth="true"/>
    <col min="17" max="17" width="5.5" style="2" customWidth="true"/>
    <col min="18" max="18" width="5.75" style="2" customWidth="true"/>
    <col min="19" max="19" width="5" style="2" customWidth="true"/>
    <col min="20" max="20" width="6" style="2" customWidth="true"/>
    <col min="21" max="21" width="5.75" style="2" customWidth="true"/>
    <col min="22" max="22" width="5.875" style="2" customWidth="true"/>
    <col min="23" max="23" width="5.75" style="2" customWidth="true"/>
    <col min="24" max="27" width="6.125" style="2" customWidth="true"/>
    <col min="28" max="29" width="5.75" style="2" customWidth="true"/>
    <col min="30" max="39" width="6.125" style="2" customWidth="true"/>
    <col min="40" max="40" width="5.875" style="2" customWidth="true"/>
    <col min="41" max="16384" width="10" style="2"/>
  </cols>
  <sheetData>
    <row r="1" spans="21:40">
      <c r="U1" s="38"/>
      <c r="AN1" s="23" t="s">
        <v>718</v>
      </c>
    </row>
    <row r="2" ht="0.75" customHeight="true" spans="2:40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="1" customFormat="true" ht="14.25" spans="2:40">
      <c r="B3" s="4" t="s">
        <v>493</v>
      </c>
      <c r="C3" s="5" t="s">
        <v>618</v>
      </c>
      <c r="D3" s="6" t="s">
        <v>512</v>
      </c>
      <c r="E3" s="24"/>
      <c r="F3" s="24"/>
      <c r="G3" s="24"/>
      <c r="H3" s="24"/>
      <c r="I3" s="29"/>
      <c r="J3" s="30"/>
      <c r="K3" s="31"/>
      <c r="L3" s="31"/>
      <c r="M3" s="31"/>
      <c r="N3" s="31"/>
      <c r="O3" s="31"/>
      <c r="P3" s="31"/>
      <c r="Q3" s="31"/>
      <c r="R3" s="31"/>
      <c r="S3" s="37" t="s">
        <v>621</v>
      </c>
      <c r="T3" s="31"/>
      <c r="U3" s="31"/>
      <c r="V3" s="31"/>
      <c r="W3" s="31"/>
      <c r="X3" s="31"/>
      <c r="Y3" s="31"/>
      <c r="Z3" s="31"/>
      <c r="AA3" s="31"/>
      <c r="AB3" s="31"/>
      <c r="AC3" s="39"/>
      <c r="AD3" s="40" t="s">
        <v>621</v>
      </c>
      <c r="AE3" s="40"/>
      <c r="AF3" s="40"/>
      <c r="AG3" s="40"/>
      <c r="AH3" s="40"/>
      <c r="AI3" s="40"/>
      <c r="AJ3" s="40"/>
      <c r="AK3" s="40"/>
      <c r="AL3" s="40"/>
      <c r="AM3" s="40"/>
      <c r="AN3" s="6" t="s">
        <v>305</v>
      </c>
    </row>
    <row r="4" s="1" customFormat="true" ht="14.25" spans="2:40">
      <c r="B4" s="7" t="s">
        <v>496</v>
      </c>
      <c r="C4" s="8" t="s">
        <v>475</v>
      </c>
      <c r="D4" s="9">
        <f t="shared" ref="D4:H4" si="0">E4-1</f>
        <v>-3</v>
      </c>
      <c r="E4" s="9">
        <f t="shared" si="0"/>
        <v>-2</v>
      </c>
      <c r="F4" s="9">
        <f t="shared" si="0"/>
        <v>-1</v>
      </c>
      <c r="G4" s="9">
        <f t="shared" si="0"/>
        <v>0</v>
      </c>
      <c r="H4" s="9">
        <f t="shared" si="0"/>
        <v>1</v>
      </c>
      <c r="I4" s="9">
        <f>现金流量!I5</f>
        <v>2</v>
      </c>
      <c r="J4" s="32">
        <f t="shared" ref="J4:AM4" si="1">I4+1</f>
        <v>3</v>
      </c>
      <c r="K4" s="32">
        <f t="shared" si="1"/>
        <v>4</v>
      </c>
      <c r="L4" s="32">
        <f t="shared" si="1"/>
        <v>5</v>
      </c>
      <c r="M4" s="32">
        <f t="shared" si="1"/>
        <v>6</v>
      </c>
      <c r="N4" s="32">
        <f t="shared" si="1"/>
        <v>7</v>
      </c>
      <c r="O4" s="32">
        <f t="shared" si="1"/>
        <v>8</v>
      </c>
      <c r="P4" s="32">
        <f t="shared" si="1"/>
        <v>9</v>
      </c>
      <c r="Q4" s="32">
        <f t="shared" si="1"/>
        <v>10</v>
      </c>
      <c r="R4" s="32">
        <f t="shared" si="1"/>
        <v>11</v>
      </c>
      <c r="S4" s="32">
        <f t="shared" si="1"/>
        <v>12</v>
      </c>
      <c r="T4" s="32">
        <f t="shared" si="1"/>
        <v>13</v>
      </c>
      <c r="U4" s="32">
        <f t="shared" si="1"/>
        <v>14</v>
      </c>
      <c r="V4" s="32">
        <f t="shared" si="1"/>
        <v>15</v>
      </c>
      <c r="W4" s="32">
        <f t="shared" si="1"/>
        <v>16</v>
      </c>
      <c r="X4" s="32">
        <f t="shared" si="1"/>
        <v>17</v>
      </c>
      <c r="Y4" s="32">
        <f t="shared" si="1"/>
        <v>18</v>
      </c>
      <c r="Z4" s="32">
        <f t="shared" si="1"/>
        <v>19</v>
      </c>
      <c r="AA4" s="32">
        <f t="shared" si="1"/>
        <v>20</v>
      </c>
      <c r="AB4" s="32">
        <f t="shared" si="1"/>
        <v>21</v>
      </c>
      <c r="AC4" s="32">
        <f t="shared" si="1"/>
        <v>22</v>
      </c>
      <c r="AD4" s="32">
        <f t="shared" si="1"/>
        <v>23</v>
      </c>
      <c r="AE4" s="32">
        <f t="shared" si="1"/>
        <v>24</v>
      </c>
      <c r="AF4" s="32">
        <f t="shared" si="1"/>
        <v>25</v>
      </c>
      <c r="AG4" s="32">
        <f t="shared" si="1"/>
        <v>26</v>
      </c>
      <c r="AH4" s="32">
        <f t="shared" si="1"/>
        <v>27</v>
      </c>
      <c r="AI4" s="32">
        <f t="shared" si="1"/>
        <v>28</v>
      </c>
      <c r="AJ4" s="32">
        <f t="shared" si="1"/>
        <v>29</v>
      </c>
      <c r="AK4" s="32">
        <f t="shared" si="1"/>
        <v>30</v>
      </c>
      <c r="AL4" s="32">
        <f t="shared" si="1"/>
        <v>31</v>
      </c>
      <c r="AM4" s="32">
        <f t="shared" si="1"/>
        <v>32</v>
      </c>
      <c r="AN4" s="41"/>
    </row>
    <row r="5" s="1" customFormat="true" ht="14.25" spans="2:40">
      <c r="B5" s="10"/>
      <c r="C5" s="11" t="s">
        <v>851</v>
      </c>
      <c r="D5" s="12"/>
      <c r="E5" s="12"/>
      <c r="F5" s="12"/>
      <c r="G5" s="12"/>
      <c r="H5" s="25"/>
      <c r="I5" s="25"/>
      <c r="J5" s="33">
        <f>现金流量!J6</f>
        <v>0.8</v>
      </c>
      <c r="K5" s="33">
        <f>现金流量!K6</f>
        <v>0.9</v>
      </c>
      <c r="L5" s="33">
        <f>现金流量!L6</f>
        <v>1</v>
      </c>
      <c r="M5" s="33">
        <f>现金流量!M6</f>
        <v>1</v>
      </c>
      <c r="N5" s="33">
        <f>现金流量!N6</f>
        <v>1</v>
      </c>
      <c r="O5" s="33">
        <f>现金流量!O6</f>
        <v>1</v>
      </c>
      <c r="P5" s="33">
        <f>现金流量!P6</f>
        <v>1</v>
      </c>
      <c r="Q5" s="33">
        <f>现金流量!Q6</f>
        <v>1</v>
      </c>
      <c r="R5" s="33">
        <f>现金流量!R6</f>
        <v>1</v>
      </c>
      <c r="S5" s="33">
        <f>现金流量!S6</f>
        <v>1</v>
      </c>
      <c r="T5" s="33">
        <f>现金流量!T6</f>
        <v>1</v>
      </c>
      <c r="U5" s="33">
        <f>现金流量!U6</f>
        <v>1</v>
      </c>
      <c r="V5" s="33">
        <f>现金流量!V6</f>
        <v>1</v>
      </c>
      <c r="W5" s="33">
        <f>现金流量!W6</f>
        <v>1</v>
      </c>
      <c r="X5" s="33">
        <f>现金流量!X6</f>
        <v>1</v>
      </c>
      <c r="Y5" s="33">
        <f>现金流量!Y6</f>
        <v>1</v>
      </c>
      <c r="Z5" s="33">
        <f>现金流量!Z6</f>
        <v>1</v>
      </c>
      <c r="AA5" s="33">
        <f>现金流量!AA6</f>
        <v>1</v>
      </c>
      <c r="AB5" s="33">
        <f>现金流量!AB6</f>
        <v>1</v>
      </c>
      <c r="AC5" s="33">
        <f>现金流量!AC6</f>
        <v>1</v>
      </c>
      <c r="AD5" s="33">
        <f>现金流量!AD6</f>
        <v>1</v>
      </c>
      <c r="AE5" s="33">
        <f>现金流量!AE6</f>
        <v>1</v>
      </c>
      <c r="AF5" s="33">
        <f>现金流量!AF6</f>
        <v>1</v>
      </c>
      <c r="AG5" s="33">
        <f>现金流量!AG6</f>
        <v>1</v>
      </c>
      <c r="AH5" s="33">
        <f>现金流量!AH6</f>
        <v>1</v>
      </c>
      <c r="AI5" s="33">
        <f>现金流量!AI6</f>
        <v>0</v>
      </c>
      <c r="AJ5" s="33">
        <f>现金流量!AJ6</f>
        <v>0</v>
      </c>
      <c r="AK5" s="33">
        <f>现金流量!AK6</f>
        <v>0</v>
      </c>
      <c r="AL5" s="33">
        <f>现金流量!AL6</f>
        <v>0</v>
      </c>
      <c r="AM5" s="33">
        <f>现金流量!AM6</f>
        <v>0</v>
      </c>
      <c r="AN5" s="42"/>
    </row>
    <row r="6" ht="17.1" customHeight="true" spans="2:40">
      <c r="B6" s="13">
        <v>1</v>
      </c>
      <c r="C6" s="14" t="s">
        <v>852</v>
      </c>
      <c r="D6" s="15"/>
      <c r="E6" s="1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43"/>
    </row>
    <row r="7" ht="17.1" customHeight="true" spans="2:40">
      <c r="B7" s="16">
        <v>1.1</v>
      </c>
      <c r="C7" s="15" t="s">
        <v>708</v>
      </c>
      <c r="D7" s="15"/>
      <c r="E7" s="15"/>
      <c r="F7" s="26"/>
      <c r="G7" s="26"/>
      <c r="H7" s="26"/>
      <c r="I7" s="26"/>
      <c r="J7" s="26" t="e">
        <f>损益表!D10</f>
        <v>#REF!</v>
      </c>
      <c r="K7" s="26" t="e">
        <f>损益表!E10</f>
        <v>#REF!</v>
      </c>
      <c r="L7" s="26" t="e">
        <f>损益表!F10</f>
        <v>#REF!</v>
      </c>
      <c r="M7" s="26" t="e">
        <f>损益表!G10</f>
        <v>#REF!</v>
      </c>
      <c r="N7" s="26" t="e">
        <f>损益表!H10</f>
        <v>#REF!</v>
      </c>
      <c r="O7" s="26" t="e">
        <f>损益表!I10</f>
        <v>#REF!</v>
      </c>
      <c r="P7" s="26" t="e">
        <f>损益表!J10</f>
        <v>#REF!</v>
      </c>
      <c r="Q7" s="26" t="e">
        <f>损益表!K10</f>
        <v>#REF!</v>
      </c>
      <c r="R7" s="26" t="e">
        <f>损益表!L10</f>
        <v>#REF!</v>
      </c>
      <c r="S7" s="26" t="e">
        <f>损益表!M10</f>
        <v>#REF!</v>
      </c>
      <c r="T7" s="26" t="e">
        <f>损益表!N10</f>
        <v>#REF!</v>
      </c>
      <c r="U7" s="26" t="e">
        <f>损益表!O10</f>
        <v>#REF!</v>
      </c>
      <c r="V7" s="26" t="e">
        <f>损益表!P10</f>
        <v>#REF!</v>
      </c>
      <c r="W7" s="26" t="e">
        <f>损益表!Q10</f>
        <v>#REF!</v>
      </c>
      <c r="X7" s="26" t="e">
        <f>损益表!R10</f>
        <v>#REF!</v>
      </c>
      <c r="Y7" s="26" t="e">
        <f>损益表!S10</f>
        <v>#REF!</v>
      </c>
      <c r="Z7" s="26" t="e">
        <f>损益表!T10</f>
        <v>#REF!</v>
      </c>
      <c r="AA7" s="26" t="e">
        <f>损益表!U10</f>
        <v>#REF!</v>
      </c>
      <c r="AB7" s="26" t="e">
        <f>损益表!V10</f>
        <v>#REF!</v>
      </c>
      <c r="AC7" s="26" t="e">
        <f>损益表!W10</f>
        <v>#REF!</v>
      </c>
      <c r="AD7" s="26" t="e">
        <f>损益表!X10</f>
        <v>#REF!</v>
      </c>
      <c r="AE7" s="26" t="e">
        <f>损益表!Y10</f>
        <v>#REF!</v>
      </c>
      <c r="AF7" s="26" t="e">
        <f>损益表!Z10</f>
        <v>#REF!</v>
      </c>
      <c r="AG7" s="26" t="e">
        <f>损益表!AA10</f>
        <v>#REF!</v>
      </c>
      <c r="AH7" s="26" t="e">
        <f>损益表!AB10</f>
        <v>#REF!</v>
      </c>
      <c r="AI7" s="26">
        <f>损益表!AC10</f>
        <v>0</v>
      </c>
      <c r="AJ7" s="26">
        <f>损益表!AD10</f>
        <v>0</v>
      </c>
      <c r="AK7" s="26">
        <f>损益表!AE10</f>
        <v>0</v>
      </c>
      <c r="AL7" s="26">
        <f>损益表!AF10</f>
        <v>0</v>
      </c>
      <c r="AM7" s="26">
        <f>损益表!AG10</f>
        <v>0</v>
      </c>
      <c r="AN7" s="43" t="e">
        <f t="shared" ref="AN7:AN11" si="2">SUM(D7:AM7)</f>
        <v>#REF!</v>
      </c>
    </row>
    <row r="8" ht="17.1" customHeight="true" spans="2:40">
      <c r="B8" s="16">
        <v>1.2</v>
      </c>
      <c r="C8" s="15" t="s">
        <v>853</v>
      </c>
      <c r="D8" s="15"/>
      <c r="E8" s="15"/>
      <c r="F8" s="26"/>
      <c r="G8" s="26"/>
      <c r="H8" s="26"/>
      <c r="I8" s="26"/>
      <c r="J8" s="26" t="e">
        <f>年成本分析!D12</f>
        <v>#REF!</v>
      </c>
      <c r="K8" s="26" t="e">
        <f>年成本分析!E12</f>
        <v>#REF!</v>
      </c>
      <c r="L8" s="26" t="e">
        <f>年成本分析!F12</f>
        <v>#REF!</v>
      </c>
      <c r="M8" s="26" t="e">
        <f>年成本分析!G12</f>
        <v>#REF!</v>
      </c>
      <c r="N8" s="26" t="e">
        <f>年成本分析!H12</f>
        <v>#REF!</v>
      </c>
      <c r="O8" s="26" t="e">
        <f>年成本分析!I12</f>
        <v>#REF!</v>
      </c>
      <c r="P8" s="26" t="e">
        <f>年成本分析!J12</f>
        <v>#REF!</v>
      </c>
      <c r="Q8" s="26" t="e">
        <f>年成本分析!K12</f>
        <v>#REF!</v>
      </c>
      <c r="R8" s="26" t="e">
        <f>年成本分析!L12</f>
        <v>#REF!</v>
      </c>
      <c r="S8" s="26" t="e">
        <f>年成本分析!M12</f>
        <v>#REF!</v>
      </c>
      <c r="T8" s="26" t="e">
        <f>年成本分析!N12</f>
        <v>#REF!</v>
      </c>
      <c r="U8" s="26" t="e">
        <f>年成本分析!O12</f>
        <v>#REF!</v>
      </c>
      <c r="V8" s="26" t="e">
        <f>年成本分析!P12</f>
        <v>#REF!</v>
      </c>
      <c r="W8" s="26" t="e">
        <f>年成本分析!Q12</f>
        <v>#REF!</v>
      </c>
      <c r="X8" s="26" t="e">
        <f>年成本分析!R12</f>
        <v>#REF!</v>
      </c>
      <c r="Y8" s="26" t="e">
        <f>年成本分析!S12</f>
        <v>#REF!</v>
      </c>
      <c r="Z8" s="26" t="e">
        <f>年成本分析!T12</f>
        <v>#REF!</v>
      </c>
      <c r="AA8" s="26" t="e">
        <f>年成本分析!U12</f>
        <v>#REF!</v>
      </c>
      <c r="AB8" s="26" t="e">
        <f>年成本分析!V12</f>
        <v>#REF!</v>
      </c>
      <c r="AC8" s="26" t="e">
        <f>年成本分析!W12</f>
        <v>#REF!</v>
      </c>
      <c r="AD8" s="26" t="e">
        <f>年成本分析!X12</f>
        <v>#REF!</v>
      </c>
      <c r="AE8" s="26" t="e">
        <f>年成本分析!Y12</f>
        <v>#REF!</v>
      </c>
      <c r="AF8" s="26" t="e">
        <f>年成本分析!Z12</f>
        <v>#REF!</v>
      </c>
      <c r="AG8" s="26" t="e">
        <f>年成本分析!AA12</f>
        <v>#REF!</v>
      </c>
      <c r="AH8" s="26" t="e">
        <f>年成本分析!AB12</f>
        <v>#REF!</v>
      </c>
      <c r="AI8" s="26">
        <f>年成本分析!AC12</f>
        <v>0</v>
      </c>
      <c r="AJ8" s="26">
        <f>年成本分析!AD12</f>
        <v>0</v>
      </c>
      <c r="AK8" s="26">
        <f>年成本分析!AE12</f>
        <v>0</v>
      </c>
      <c r="AL8" s="26">
        <f>年成本分析!AF12</f>
        <v>0</v>
      </c>
      <c r="AM8" s="26">
        <f>年成本分析!AG12</f>
        <v>0</v>
      </c>
      <c r="AN8" s="43" t="e">
        <f t="shared" si="2"/>
        <v>#REF!</v>
      </c>
    </row>
    <row r="9" ht="17.1" customHeight="true" spans="2:40">
      <c r="B9" s="16">
        <v>1.3</v>
      </c>
      <c r="C9" s="15" t="s">
        <v>854</v>
      </c>
      <c r="D9" s="15"/>
      <c r="E9" s="15"/>
      <c r="F9" s="26"/>
      <c r="G9" s="26"/>
      <c r="H9" s="26"/>
      <c r="I9" s="26"/>
      <c r="J9" s="34" t="e">
        <f>年成本分析!D15</f>
        <v>#REF!</v>
      </c>
      <c r="K9" s="34" t="e">
        <f>年成本分析!E15</f>
        <v>#REF!</v>
      </c>
      <c r="L9" s="34" t="e">
        <f>年成本分析!F15</f>
        <v>#REF!</v>
      </c>
      <c r="M9" s="34" t="e">
        <f>年成本分析!G15</f>
        <v>#REF!</v>
      </c>
      <c r="N9" s="34" t="e">
        <f>年成本分析!H15</f>
        <v>#REF!</v>
      </c>
      <c r="O9" s="34" t="e">
        <f>年成本分析!I15</f>
        <v>#REF!</v>
      </c>
      <c r="P9" s="34" t="e">
        <f>年成本分析!J15</f>
        <v>#REF!</v>
      </c>
      <c r="Q9" s="34" t="e">
        <f>年成本分析!K15</f>
        <v>#REF!</v>
      </c>
      <c r="R9" s="34" t="e">
        <f>年成本分析!L15</f>
        <v>#REF!</v>
      </c>
      <c r="S9" s="34" t="e">
        <f>年成本分析!M15</f>
        <v>#REF!</v>
      </c>
      <c r="T9" s="34" t="e">
        <f>年成本分析!N15</f>
        <v>#REF!</v>
      </c>
      <c r="U9" s="34" t="e">
        <f>年成本分析!O15</f>
        <v>#REF!</v>
      </c>
      <c r="V9" s="34" t="e">
        <f>年成本分析!P15</f>
        <v>#REF!</v>
      </c>
      <c r="W9" s="34" t="e">
        <f>年成本分析!Q15</f>
        <v>#REF!</v>
      </c>
      <c r="X9" s="34">
        <f>年成本分析!R15</f>
        <v>0</v>
      </c>
      <c r="Y9" s="34">
        <f>年成本分析!S15</f>
        <v>0</v>
      </c>
      <c r="Z9" s="34">
        <f>年成本分析!T15</f>
        <v>0</v>
      </c>
      <c r="AA9" s="34">
        <f>年成本分析!U15</f>
        <v>0</v>
      </c>
      <c r="AB9" s="34">
        <f>年成本分析!V15</f>
        <v>0</v>
      </c>
      <c r="AC9" s="34">
        <f>年成本分析!W15</f>
        <v>0</v>
      </c>
      <c r="AD9" s="34">
        <f>年成本分析!X15</f>
        <v>0</v>
      </c>
      <c r="AE9" s="34">
        <f>年成本分析!Y15</f>
        <v>0</v>
      </c>
      <c r="AF9" s="34">
        <f>年成本分析!Z15</f>
        <v>0</v>
      </c>
      <c r="AG9" s="34">
        <f>年成本分析!AA15</f>
        <v>0</v>
      </c>
      <c r="AH9" s="34">
        <f>年成本分析!AB15</f>
        <v>0</v>
      </c>
      <c r="AI9" s="34">
        <f>年成本分析!AC15</f>
        <v>0</v>
      </c>
      <c r="AJ9" s="34">
        <f>年成本分析!AD15</f>
        <v>0</v>
      </c>
      <c r="AK9" s="34">
        <f>年成本分析!AE15</f>
        <v>0</v>
      </c>
      <c r="AL9" s="34">
        <f>年成本分析!AF15</f>
        <v>0</v>
      </c>
      <c r="AM9" s="34">
        <f>年成本分析!AG15</f>
        <v>0</v>
      </c>
      <c r="AN9" s="43" t="e">
        <f t="shared" si="2"/>
        <v>#REF!</v>
      </c>
    </row>
    <row r="10" ht="17.1" customHeight="true" spans="2:40">
      <c r="B10" s="16">
        <v>1.4</v>
      </c>
      <c r="C10" s="15" t="s">
        <v>855</v>
      </c>
      <c r="D10" s="17">
        <v>0</v>
      </c>
      <c r="E10" s="17">
        <v>0</v>
      </c>
      <c r="F10" s="26"/>
      <c r="G10" s="26" t="e">
        <f>利息!F13</f>
        <v>#REF!</v>
      </c>
      <c r="H10" s="26" t="e">
        <f>利息!G13</f>
        <v>#REF!</v>
      </c>
      <c r="I10" s="26" t="e">
        <f>利息!H13</f>
        <v>#REF!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43" t="e">
        <f t="shared" si="2"/>
        <v>#REF!</v>
      </c>
    </row>
    <row r="11" ht="17.1" customHeight="true" spans="2:40">
      <c r="B11" s="16">
        <v>1.5</v>
      </c>
      <c r="C11" s="15" t="s">
        <v>746</v>
      </c>
      <c r="D11" s="15"/>
      <c r="E11" s="15"/>
      <c r="F11" s="26"/>
      <c r="G11" s="26"/>
      <c r="H11" s="26"/>
      <c r="I11" s="26"/>
      <c r="J11" s="26" t="e">
        <f>现金流量!J16*'总表 (2)'!$D$63</f>
        <v>#REF!</v>
      </c>
      <c r="K11" s="26" t="e">
        <f>现金流量!K16*'总表 (2)'!$D$63</f>
        <v>#REF!</v>
      </c>
      <c r="L11" s="26" t="e">
        <f>现金流量!L16*'总表 (2)'!$D$63</f>
        <v>#REF!</v>
      </c>
      <c r="M11" s="26" t="e">
        <f>现金流量!M16*'总表 (2)'!$D$63</f>
        <v>#REF!</v>
      </c>
      <c r="N11" s="26" t="e">
        <f>现金流量!N16*'总表 (2)'!$D$63</f>
        <v>#REF!</v>
      </c>
      <c r="O11" s="26" t="e">
        <f>现金流量!O16*'总表 (2)'!$D$63</f>
        <v>#REF!</v>
      </c>
      <c r="P11" s="26" t="e">
        <f>现金流量!P16*'总表 (2)'!$D$63</f>
        <v>#REF!</v>
      </c>
      <c r="Q11" s="26" t="e">
        <f>现金流量!Q16*'总表 (2)'!$D$63</f>
        <v>#REF!</v>
      </c>
      <c r="R11" s="26" t="e">
        <f>现金流量!R16*'总表 (2)'!$D$63</f>
        <v>#REF!</v>
      </c>
      <c r="S11" s="26" t="e">
        <f>现金流量!S16*'总表 (2)'!$D$63</f>
        <v>#REF!</v>
      </c>
      <c r="T11" s="26" t="e">
        <f>现金流量!T16*'总表 (2)'!$D$63</f>
        <v>#REF!</v>
      </c>
      <c r="U11" s="26" t="e">
        <f>现金流量!U16*'总表 (2)'!$D$63</f>
        <v>#REF!</v>
      </c>
      <c r="V11" s="26" t="e">
        <f>现金流量!V16*'总表 (2)'!$D$63</f>
        <v>#REF!</v>
      </c>
      <c r="W11" s="26" t="e">
        <f>现金流量!W16*'总表 (2)'!$D$63</f>
        <v>#REF!</v>
      </c>
      <c r="X11" s="26" t="e">
        <f>现金流量!X16*'总表 (2)'!$D$63</f>
        <v>#REF!</v>
      </c>
      <c r="Y11" s="26" t="e">
        <f>现金流量!Y16*'总表 (2)'!$D$63</f>
        <v>#REF!</v>
      </c>
      <c r="Z11" s="26" t="e">
        <f>现金流量!Z16*'总表 (2)'!$D$63</f>
        <v>#REF!</v>
      </c>
      <c r="AA11" s="26" t="e">
        <f>现金流量!AA16*'总表 (2)'!$D$63</f>
        <v>#REF!</v>
      </c>
      <c r="AB11" s="26" t="e">
        <f>现金流量!AB16*'总表 (2)'!$D$63</f>
        <v>#REF!</v>
      </c>
      <c r="AC11" s="26" t="e">
        <f>现金流量!AC16*'总表 (2)'!$D$63</f>
        <v>#REF!</v>
      </c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43" t="e">
        <f t="shared" si="2"/>
        <v>#REF!</v>
      </c>
    </row>
    <row r="12" ht="17.1" customHeight="true" spans="2:40">
      <c r="B12" s="16">
        <v>1.6</v>
      </c>
      <c r="C12" s="15" t="s">
        <v>772</v>
      </c>
      <c r="D12" s="15"/>
      <c r="E12" s="15"/>
      <c r="F12" s="26"/>
      <c r="G12" s="26"/>
      <c r="H12" s="26"/>
      <c r="I12" s="26"/>
      <c r="J12" s="35"/>
      <c r="K12" s="35"/>
      <c r="L12" s="35"/>
      <c r="M12" s="3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43">
        <f>SUM(D12:AC12)</f>
        <v>0</v>
      </c>
    </row>
    <row r="13" ht="17.1" customHeight="true" spans="2:40">
      <c r="B13" s="16">
        <v>1.7</v>
      </c>
      <c r="C13" s="15" t="s">
        <v>856</v>
      </c>
      <c r="D13" s="15"/>
      <c r="E13" s="1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43">
        <f>SUM(D13:AC13)</f>
        <v>0</v>
      </c>
    </row>
    <row r="14" ht="17.1" customHeight="true" spans="2:40">
      <c r="B14" s="16">
        <v>1.8</v>
      </c>
      <c r="C14" s="15" t="s">
        <v>545</v>
      </c>
      <c r="D14" s="17">
        <v>0</v>
      </c>
      <c r="E14" s="17">
        <v>0</v>
      </c>
      <c r="F14" s="26"/>
      <c r="G14" s="26" t="e">
        <f>利息!F19</f>
        <v>#REF!</v>
      </c>
      <c r="H14" s="26" t="e">
        <f>利息!G19</f>
        <v>#REF!</v>
      </c>
      <c r="I14" s="26" t="e">
        <f>利息!H19</f>
        <v>#REF!</v>
      </c>
      <c r="J14" s="26" t="e">
        <f>现金流量!J16*'总表 (2)'!$E$63</f>
        <v>#REF!</v>
      </c>
      <c r="K14" s="26" t="e">
        <f>现金流量!K16*'总表 (2)'!$E$63</f>
        <v>#REF!</v>
      </c>
      <c r="L14" s="26" t="e">
        <f>现金流量!L16*'总表 (2)'!$E$63</f>
        <v>#REF!</v>
      </c>
      <c r="M14" s="26" t="e">
        <f>现金流量!M16*'总表 (2)'!$E$63</f>
        <v>#REF!</v>
      </c>
      <c r="N14" s="26" t="e">
        <f>现金流量!N16*'总表 (2)'!$E$63</f>
        <v>#REF!</v>
      </c>
      <c r="O14" s="26" t="e">
        <f>现金流量!O16*'总表 (2)'!$E$63</f>
        <v>#REF!</v>
      </c>
      <c r="P14" s="26" t="e">
        <f>现金流量!P16*'总表 (2)'!$E$63</f>
        <v>#REF!</v>
      </c>
      <c r="Q14" s="26" t="e">
        <f>现金流量!Q16*'总表 (2)'!$E$63</f>
        <v>#REF!</v>
      </c>
      <c r="R14" s="26" t="e">
        <f>现金流量!R16*'总表 (2)'!$E$63</f>
        <v>#REF!</v>
      </c>
      <c r="S14" s="26" t="e">
        <f>现金流量!S16*'总表 (2)'!$E$63</f>
        <v>#REF!</v>
      </c>
      <c r="T14" s="26" t="e">
        <f>现金流量!T16*'总表 (2)'!$E$63</f>
        <v>#REF!</v>
      </c>
      <c r="U14" s="26" t="e">
        <f>现金流量!U16*'总表 (2)'!$E$63</f>
        <v>#REF!</v>
      </c>
      <c r="V14" s="26" t="e">
        <f>现金流量!V16*'总表 (2)'!$E$63</f>
        <v>#REF!</v>
      </c>
      <c r="W14" s="26" t="e">
        <f>现金流量!W16*'总表 (2)'!$E$63</f>
        <v>#REF!</v>
      </c>
      <c r="X14" s="26" t="e">
        <f>现金流量!X16*'总表 (2)'!$E$63</f>
        <v>#REF!</v>
      </c>
      <c r="Y14" s="26" t="e">
        <f>现金流量!Y16*'总表 (2)'!$E$63</f>
        <v>#REF!</v>
      </c>
      <c r="Z14" s="26" t="e">
        <f>现金流量!Z16*'总表 (2)'!$E$63</f>
        <v>#REF!</v>
      </c>
      <c r="AA14" s="26" t="e">
        <f>现金流量!AA16*'总表 (2)'!$E$63</f>
        <v>#REF!</v>
      </c>
      <c r="AB14" s="26" t="e">
        <f>现金流量!AB16*'总表 (2)'!$E$63</f>
        <v>#REF!</v>
      </c>
      <c r="AC14" s="26" t="e">
        <f>现金流量!AC16*'总表 (2)'!$E$63</f>
        <v>#REF!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43" t="e">
        <f t="shared" ref="AN14:AN17" si="3">SUM(D14:AM14)</f>
        <v>#REF!</v>
      </c>
    </row>
    <row r="15" ht="17.1" customHeight="true" spans="2:40">
      <c r="B15" s="18">
        <v>1.9</v>
      </c>
      <c r="C15" s="15" t="s">
        <v>644</v>
      </c>
      <c r="D15" s="15"/>
      <c r="E15" s="15"/>
      <c r="F15" s="26"/>
      <c r="G15" s="26"/>
      <c r="H15" s="26"/>
      <c r="I15" s="26"/>
      <c r="J15" s="26">
        <f>现金流量!J9</f>
        <v>0</v>
      </c>
      <c r="K15" s="26">
        <f>现金流量!K9</f>
        <v>0</v>
      </c>
      <c r="L15" s="26">
        <f>现金流量!L9</f>
        <v>0</v>
      </c>
      <c r="M15" s="26">
        <f>现金流量!M9</f>
        <v>0</v>
      </c>
      <c r="N15" s="26">
        <f>现金流量!N9</f>
        <v>0</v>
      </c>
      <c r="O15" s="26">
        <f>现金流量!O9</f>
        <v>0</v>
      </c>
      <c r="P15" s="26">
        <f>现金流量!P9</f>
        <v>0</v>
      </c>
      <c r="Q15" s="26">
        <f>现金流量!Q9</f>
        <v>0</v>
      </c>
      <c r="R15" s="26">
        <f>现金流量!R9</f>
        <v>0</v>
      </c>
      <c r="S15" s="26">
        <f>现金流量!S9</f>
        <v>0</v>
      </c>
      <c r="T15" s="26">
        <f>现金流量!T9</f>
        <v>0</v>
      </c>
      <c r="U15" s="26">
        <f>现金流量!U9</f>
        <v>0</v>
      </c>
      <c r="V15" s="26">
        <f>现金流量!V9</f>
        <v>0</v>
      </c>
      <c r="W15" s="26">
        <f>现金流量!W9</f>
        <v>0</v>
      </c>
      <c r="X15" s="26">
        <f>现金流量!X9</f>
        <v>0</v>
      </c>
      <c r="Y15" s="26">
        <f>现金流量!Y9</f>
        <v>0</v>
      </c>
      <c r="Z15" s="26">
        <f>现金流量!Z9</f>
        <v>0</v>
      </c>
      <c r="AA15" s="26">
        <f>现金流量!AA9</f>
        <v>0</v>
      </c>
      <c r="AB15" s="26">
        <f>现金流量!AB9</f>
        <v>0</v>
      </c>
      <c r="AC15" s="26">
        <f>现金流量!AC9</f>
        <v>0</v>
      </c>
      <c r="AD15" s="26">
        <f>现金流量!AD9</f>
        <v>0</v>
      </c>
      <c r="AE15" s="26">
        <f>现金流量!AE9</f>
        <v>0</v>
      </c>
      <c r="AF15" s="26">
        <f>现金流量!AF9</f>
        <v>0</v>
      </c>
      <c r="AG15" s="26">
        <f>现金流量!AG9</f>
        <v>0</v>
      </c>
      <c r="AH15" s="26" t="e">
        <f>现金流量!AH9</f>
        <v>#REF!</v>
      </c>
      <c r="AI15" s="26">
        <f>现金流量!AI9</f>
        <v>0</v>
      </c>
      <c r="AJ15" s="26">
        <f>现金流量!AJ9</f>
        <v>0</v>
      </c>
      <c r="AK15" s="26">
        <f>现金流量!AK9</f>
        <v>0</v>
      </c>
      <c r="AL15" s="26">
        <f>现金流量!AL9</f>
        <v>0</v>
      </c>
      <c r="AM15" s="26">
        <f>现金流量!AM9</f>
        <v>0</v>
      </c>
      <c r="AN15" s="43" t="e">
        <f t="shared" si="3"/>
        <v>#REF!</v>
      </c>
    </row>
    <row r="16" ht="17.1" customHeight="true" spans="2:40">
      <c r="B16" s="681" t="s">
        <v>58</v>
      </c>
      <c r="C16" s="15" t="s">
        <v>857</v>
      </c>
      <c r="D16" s="15"/>
      <c r="E16" s="15"/>
      <c r="F16" s="26"/>
      <c r="G16" s="26"/>
      <c r="H16" s="26"/>
      <c r="I16" s="26"/>
      <c r="J16" s="26">
        <f>现金流量!J10</f>
        <v>0</v>
      </c>
      <c r="K16" s="26">
        <f>现金流量!K10</f>
        <v>0</v>
      </c>
      <c r="L16" s="26">
        <f>现金流量!L10</f>
        <v>0</v>
      </c>
      <c r="M16" s="26">
        <f>现金流量!M10</f>
        <v>0</v>
      </c>
      <c r="N16" s="26">
        <f>现金流量!N10</f>
        <v>0</v>
      </c>
      <c r="O16" s="26">
        <f>现金流量!O10</f>
        <v>0</v>
      </c>
      <c r="P16" s="26">
        <f>现金流量!P10</f>
        <v>0</v>
      </c>
      <c r="Q16" s="26">
        <f>现金流量!Q10</f>
        <v>0</v>
      </c>
      <c r="R16" s="26">
        <f>现金流量!R10</f>
        <v>0</v>
      </c>
      <c r="S16" s="26">
        <f>现金流量!S10</f>
        <v>0</v>
      </c>
      <c r="T16" s="26">
        <f>现金流量!T10</f>
        <v>0</v>
      </c>
      <c r="U16" s="26">
        <f>现金流量!U10</f>
        <v>0</v>
      </c>
      <c r="V16" s="26">
        <f>现金流量!V10</f>
        <v>0</v>
      </c>
      <c r="W16" s="26">
        <f>现金流量!W10</f>
        <v>0</v>
      </c>
      <c r="X16" s="26">
        <f>现金流量!X10</f>
        <v>0</v>
      </c>
      <c r="Y16" s="26">
        <f>现金流量!Y10</f>
        <v>0</v>
      </c>
      <c r="Z16" s="26">
        <f>现金流量!Z10</f>
        <v>0</v>
      </c>
      <c r="AA16" s="26">
        <f>现金流量!AA10</f>
        <v>0</v>
      </c>
      <c r="AB16" s="26">
        <f>现金流量!AB10</f>
        <v>0</v>
      </c>
      <c r="AC16" s="26">
        <f>现金流量!AC10</f>
        <v>0</v>
      </c>
      <c r="AD16" s="26">
        <f>现金流量!AD10</f>
        <v>0</v>
      </c>
      <c r="AE16" s="26">
        <f>现金流量!AE10</f>
        <v>0</v>
      </c>
      <c r="AF16" s="26">
        <f>现金流量!AF10</f>
        <v>0</v>
      </c>
      <c r="AG16" s="26">
        <f>现金流量!AG10</f>
        <v>0</v>
      </c>
      <c r="AH16" s="26" t="e">
        <f>现金流量!AH10</f>
        <v>#REF!</v>
      </c>
      <c r="AI16" s="26">
        <f>现金流量!AI10</f>
        <v>0</v>
      </c>
      <c r="AJ16" s="26">
        <f>现金流量!AJ10</f>
        <v>0</v>
      </c>
      <c r="AK16" s="26">
        <f>现金流量!AK10</f>
        <v>0</v>
      </c>
      <c r="AL16" s="26">
        <f>现金流量!AL10</f>
        <v>0</v>
      </c>
      <c r="AM16" s="26">
        <f>现金流量!AM10</f>
        <v>0</v>
      </c>
      <c r="AN16" s="43" t="e">
        <f t="shared" si="3"/>
        <v>#REF!</v>
      </c>
    </row>
    <row r="17" ht="17.1" customHeight="true" spans="2:40">
      <c r="B17" s="16"/>
      <c r="C17" s="19" t="s">
        <v>858</v>
      </c>
      <c r="D17" s="17">
        <f t="shared" ref="D17:AM17" si="4">SUM(D7:D16)</f>
        <v>0</v>
      </c>
      <c r="E17" s="17">
        <f t="shared" si="4"/>
        <v>0</v>
      </c>
      <c r="F17" s="26">
        <f t="shared" si="4"/>
        <v>0</v>
      </c>
      <c r="G17" s="26" t="e">
        <f t="shared" si="4"/>
        <v>#REF!</v>
      </c>
      <c r="H17" s="26" t="e">
        <f t="shared" si="4"/>
        <v>#REF!</v>
      </c>
      <c r="I17" s="26" t="e">
        <f t="shared" si="4"/>
        <v>#REF!</v>
      </c>
      <c r="J17" s="26" t="e">
        <f t="shared" si="4"/>
        <v>#REF!</v>
      </c>
      <c r="K17" s="26" t="e">
        <f t="shared" si="4"/>
        <v>#REF!</v>
      </c>
      <c r="L17" s="26" t="e">
        <f t="shared" si="4"/>
        <v>#REF!</v>
      </c>
      <c r="M17" s="26" t="e">
        <f t="shared" si="4"/>
        <v>#REF!</v>
      </c>
      <c r="N17" s="26" t="e">
        <f t="shared" si="4"/>
        <v>#REF!</v>
      </c>
      <c r="O17" s="26" t="e">
        <f t="shared" si="4"/>
        <v>#REF!</v>
      </c>
      <c r="P17" s="26" t="e">
        <f t="shared" si="4"/>
        <v>#REF!</v>
      </c>
      <c r="Q17" s="26" t="e">
        <f t="shared" si="4"/>
        <v>#REF!</v>
      </c>
      <c r="R17" s="26" t="e">
        <f t="shared" si="4"/>
        <v>#REF!</v>
      </c>
      <c r="S17" s="26" t="e">
        <f t="shared" si="4"/>
        <v>#REF!</v>
      </c>
      <c r="T17" s="26" t="e">
        <f t="shared" si="4"/>
        <v>#REF!</v>
      </c>
      <c r="U17" s="26" t="e">
        <f t="shared" si="4"/>
        <v>#REF!</v>
      </c>
      <c r="V17" s="26" t="e">
        <f t="shared" si="4"/>
        <v>#REF!</v>
      </c>
      <c r="W17" s="26" t="e">
        <f t="shared" si="4"/>
        <v>#REF!</v>
      </c>
      <c r="X17" s="26" t="e">
        <f t="shared" si="4"/>
        <v>#REF!</v>
      </c>
      <c r="Y17" s="26" t="e">
        <f t="shared" si="4"/>
        <v>#REF!</v>
      </c>
      <c r="Z17" s="26" t="e">
        <f t="shared" si="4"/>
        <v>#REF!</v>
      </c>
      <c r="AA17" s="26" t="e">
        <f t="shared" si="4"/>
        <v>#REF!</v>
      </c>
      <c r="AB17" s="26" t="e">
        <f t="shared" si="4"/>
        <v>#REF!</v>
      </c>
      <c r="AC17" s="26" t="e">
        <f t="shared" si="4"/>
        <v>#REF!</v>
      </c>
      <c r="AD17" s="26" t="e">
        <f t="shared" si="4"/>
        <v>#REF!</v>
      </c>
      <c r="AE17" s="26" t="e">
        <f t="shared" si="4"/>
        <v>#REF!</v>
      </c>
      <c r="AF17" s="26" t="e">
        <f t="shared" si="4"/>
        <v>#REF!</v>
      </c>
      <c r="AG17" s="26" t="e">
        <f t="shared" si="4"/>
        <v>#REF!</v>
      </c>
      <c r="AH17" s="26" t="e">
        <f t="shared" si="4"/>
        <v>#REF!</v>
      </c>
      <c r="AI17" s="26">
        <f t="shared" si="4"/>
        <v>0</v>
      </c>
      <c r="AJ17" s="26">
        <f t="shared" si="4"/>
        <v>0</v>
      </c>
      <c r="AK17" s="26">
        <f t="shared" si="4"/>
        <v>0</v>
      </c>
      <c r="AL17" s="26">
        <f t="shared" si="4"/>
        <v>0</v>
      </c>
      <c r="AM17" s="26">
        <f t="shared" si="4"/>
        <v>0</v>
      </c>
      <c r="AN17" s="43" t="e">
        <f t="shared" si="3"/>
        <v>#REF!</v>
      </c>
    </row>
    <row r="18" ht="17.1" customHeight="true" spans="2:40">
      <c r="B18" s="13">
        <v>2</v>
      </c>
      <c r="C18" s="14" t="s">
        <v>859</v>
      </c>
      <c r="D18" s="15"/>
      <c r="E18" s="1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43"/>
    </row>
    <row r="19" ht="17.1" customHeight="true" spans="2:40">
      <c r="B19" s="16">
        <v>2.1</v>
      </c>
      <c r="C19" s="15" t="s">
        <v>650</v>
      </c>
      <c r="D19" s="17"/>
      <c r="E19" s="17"/>
      <c r="F19" s="26" t="e">
        <f t="shared" ref="F19:I19" si="5">F17-F20</f>
        <v>#REF!</v>
      </c>
      <c r="G19" s="26" t="e">
        <f t="shared" si="5"/>
        <v>#REF!</v>
      </c>
      <c r="H19" s="26" t="e">
        <f t="shared" si="5"/>
        <v>#REF!</v>
      </c>
      <c r="I19" s="26" t="e">
        <f t="shared" si="5"/>
        <v>#REF!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43" t="e">
        <f t="shared" ref="AN19:AN22" si="6">SUM(D19:AM19)</f>
        <v>#REF!</v>
      </c>
    </row>
    <row r="20" ht="17.1" customHeight="true" spans="2:40">
      <c r="B20" s="16">
        <v>2.2</v>
      </c>
      <c r="C20" s="15" t="s">
        <v>795</v>
      </c>
      <c r="D20" s="17"/>
      <c r="E20" s="17"/>
      <c r="F20" s="26" t="e">
        <f>借款偿还!G13</f>
        <v>#REF!</v>
      </c>
      <c r="G20" s="26" t="e">
        <f>借款偿还!H13</f>
        <v>#REF!</v>
      </c>
      <c r="H20" s="26" t="e">
        <f>借款偿还!I13</f>
        <v>#REF!</v>
      </c>
      <c r="I20" s="26" t="e">
        <f>借款偿还!J13</f>
        <v>#REF!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43" t="e">
        <f t="shared" si="6"/>
        <v>#REF!</v>
      </c>
    </row>
    <row r="21" ht="17.1" customHeight="true" spans="2:40">
      <c r="B21" s="16">
        <v>2.3</v>
      </c>
      <c r="C21" s="15" t="s">
        <v>612</v>
      </c>
      <c r="D21" s="17"/>
      <c r="E21" s="17"/>
      <c r="F21" s="26"/>
      <c r="G21" s="26"/>
      <c r="H21" s="26"/>
      <c r="I21" s="26"/>
      <c r="J21" s="26" t="e">
        <f>现金流量!J16</f>
        <v>#REF!</v>
      </c>
      <c r="K21" s="26" t="e">
        <f>现金流量!K16</f>
        <v>#REF!</v>
      </c>
      <c r="L21" s="26" t="e">
        <f>现金流量!L16</f>
        <v>#REF!</v>
      </c>
      <c r="M21" s="26" t="e">
        <f>现金流量!M16</f>
        <v>#REF!</v>
      </c>
      <c r="N21" s="26" t="e">
        <f>现金流量!N16</f>
        <v>#REF!</v>
      </c>
      <c r="O21" s="26" t="e">
        <f>现金流量!O16</f>
        <v>#REF!</v>
      </c>
      <c r="P21" s="26" t="e">
        <f>现金流量!P16</f>
        <v>#REF!</v>
      </c>
      <c r="Q21" s="26" t="e">
        <f>现金流量!Q16</f>
        <v>#REF!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43" t="e">
        <f t="shared" si="6"/>
        <v>#REF!</v>
      </c>
    </row>
    <row r="22" ht="17.1" customHeight="true" spans="2:40">
      <c r="B22" s="16">
        <v>2.4</v>
      </c>
      <c r="C22" s="15" t="s">
        <v>684</v>
      </c>
      <c r="D22" s="17"/>
      <c r="E22" s="17"/>
      <c r="F22" s="26"/>
      <c r="G22" s="26"/>
      <c r="H22" s="26"/>
      <c r="I22" s="26"/>
      <c r="J22" s="26" t="e">
        <f>损益表!D13</f>
        <v>#REF!</v>
      </c>
      <c r="K22" s="26" t="e">
        <f>损益表!E13</f>
        <v>#REF!</v>
      </c>
      <c r="L22" s="26" t="e">
        <f>损益表!F13</f>
        <v>#REF!</v>
      </c>
      <c r="M22" s="26" t="e">
        <f>损益表!G13</f>
        <v>#REF!</v>
      </c>
      <c r="N22" s="26" t="e">
        <f>损益表!H13</f>
        <v>#REF!</v>
      </c>
      <c r="O22" s="26" t="e">
        <f>损益表!I13</f>
        <v>#REF!</v>
      </c>
      <c r="P22" s="26" t="e">
        <f>损益表!J13</f>
        <v>#REF!</v>
      </c>
      <c r="Q22" s="26" t="e">
        <f>损益表!K13</f>
        <v>#REF!</v>
      </c>
      <c r="R22" s="26" t="e">
        <f>损益表!L13</f>
        <v>#REF!</v>
      </c>
      <c r="S22" s="26" t="e">
        <f>损益表!M13</f>
        <v>#REF!</v>
      </c>
      <c r="T22" s="26" t="e">
        <f>损益表!N13</f>
        <v>#REF!</v>
      </c>
      <c r="U22" s="26" t="e">
        <f>损益表!O13</f>
        <v>#REF!</v>
      </c>
      <c r="V22" s="26" t="e">
        <f>损益表!P13</f>
        <v>#REF!</v>
      </c>
      <c r="W22" s="26" t="e">
        <f>损益表!Q13</f>
        <v>#REF!</v>
      </c>
      <c r="X22" s="26" t="e">
        <f>损益表!R13</f>
        <v>#REF!</v>
      </c>
      <c r="Y22" s="26" t="e">
        <f>损益表!S13</f>
        <v>#REF!</v>
      </c>
      <c r="Z22" s="26" t="e">
        <f>损益表!T13</f>
        <v>#REF!</v>
      </c>
      <c r="AA22" s="26" t="e">
        <f>损益表!U13</f>
        <v>#REF!</v>
      </c>
      <c r="AB22" s="26" t="e">
        <f>损益表!V13</f>
        <v>#REF!</v>
      </c>
      <c r="AC22" s="26" t="e">
        <f>损益表!W13</f>
        <v>#REF!</v>
      </c>
      <c r="AD22" s="26" t="e">
        <f>损益表!X13</f>
        <v>#REF!</v>
      </c>
      <c r="AE22" s="26" t="e">
        <f>损益表!Y13</f>
        <v>#REF!</v>
      </c>
      <c r="AF22" s="26" t="e">
        <f>损益表!Z13</f>
        <v>#REF!</v>
      </c>
      <c r="AG22" s="26" t="e">
        <f>损益表!AA13</f>
        <v>#REF!</v>
      </c>
      <c r="AH22" s="26" t="e">
        <f>损益表!AB13</f>
        <v>#REF!</v>
      </c>
      <c r="AI22" s="26">
        <f>损益表!AC13</f>
        <v>0</v>
      </c>
      <c r="AJ22" s="26">
        <f>损益表!AD13</f>
        <v>0</v>
      </c>
      <c r="AK22" s="26">
        <f>损益表!AE13</f>
        <v>0</v>
      </c>
      <c r="AL22" s="26">
        <f>损益表!AF13</f>
        <v>0</v>
      </c>
      <c r="AM22" s="26">
        <f>损益表!AG13</f>
        <v>0</v>
      </c>
      <c r="AN22" s="43" t="e">
        <f t="shared" si="6"/>
        <v>#REF!</v>
      </c>
    </row>
    <row r="23" ht="17.1" customHeight="true" spans="2:40">
      <c r="B23" s="16">
        <v>2.5</v>
      </c>
      <c r="C23" s="15" t="s">
        <v>860</v>
      </c>
      <c r="D23" s="17"/>
      <c r="E23" s="1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43">
        <f>SUM(D23:AC23)</f>
        <v>0</v>
      </c>
    </row>
    <row r="24" ht="17.1" customHeight="true" spans="2:40">
      <c r="B24" s="16">
        <v>2.6</v>
      </c>
      <c r="C24" s="15" t="s">
        <v>714</v>
      </c>
      <c r="D24" s="17"/>
      <c r="E24" s="17"/>
      <c r="F24" s="26"/>
      <c r="G24" s="26"/>
      <c r="H24" s="26"/>
      <c r="I24" s="26"/>
      <c r="J24" s="26" t="e">
        <f>损益表!D17</f>
        <v>#REF!</v>
      </c>
      <c r="K24" s="26" t="e">
        <f>损益表!E17</f>
        <v>#REF!</v>
      </c>
      <c r="L24" s="26" t="e">
        <f>损益表!F17</f>
        <v>#REF!</v>
      </c>
      <c r="M24" s="26" t="e">
        <f>损益表!G17</f>
        <v>#REF!</v>
      </c>
      <c r="N24" s="26" t="e">
        <f>损益表!H17</f>
        <v>#REF!</v>
      </c>
      <c r="O24" s="26" t="e">
        <f>损益表!I17</f>
        <v>#REF!</v>
      </c>
      <c r="P24" s="26" t="e">
        <f>损益表!J17</f>
        <v>#REF!</v>
      </c>
      <c r="Q24" s="26" t="e">
        <f>损益表!K17</f>
        <v>#REF!</v>
      </c>
      <c r="R24" s="26" t="e">
        <f>损益表!L17</f>
        <v>#REF!</v>
      </c>
      <c r="S24" s="26" t="e">
        <f>损益表!M17</f>
        <v>#REF!</v>
      </c>
      <c r="T24" s="26" t="e">
        <f>损益表!N17</f>
        <v>#REF!</v>
      </c>
      <c r="U24" s="26" t="e">
        <f>损益表!O17</f>
        <v>#REF!</v>
      </c>
      <c r="V24" s="26" t="e">
        <f>损益表!P17</f>
        <v>#REF!</v>
      </c>
      <c r="W24" s="26" t="e">
        <f>损益表!Q17</f>
        <v>#REF!</v>
      </c>
      <c r="X24" s="26" t="e">
        <f>损益表!R17</f>
        <v>#REF!</v>
      </c>
      <c r="Y24" s="26" t="e">
        <f>损益表!S17</f>
        <v>#REF!</v>
      </c>
      <c r="Z24" s="26" t="e">
        <f>损益表!T17</f>
        <v>#REF!</v>
      </c>
      <c r="AA24" s="26" t="e">
        <f>损益表!U17</f>
        <v>#REF!</v>
      </c>
      <c r="AB24" s="26" t="e">
        <f>损益表!V17</f>
        <v>#REF!</v>
      </c>
      <c r="AC24" s="26" t="e">
        <f>损益表!W17</f>
        <v>#REF!</v>
      </c>
      <c r="AD24" s="26" t="e">
        <f>损益表!X17</f>
        <v>#REF!</v>
      </c>
      <c r="AE24" s="26" t="e">
        <f>损益表!Y17</f>
        <v>#REF!</v>
      </c>
      <c r="AF24" s="26" t="e">
        <f>损益表!Z17</f>
        <v>#REF!</v>
      </c>
      <c r="AG24" s="26" t="e">
        <f>损益表!AA17</f>
        <v>#REF!</v>
      </c>
      <c r="AH24" s="26" t="e">
        <f>损益表!AB17</f>
        <v>#REF!</v>
      </c>
      <c r="AI24" s="26" t="e">
        <f>损益表!AC17</f>
        <v>#REF!</v>
      </c>
      <c r="AJ24" s="26" t="e">
        <f>损益表!AD17</f>
        <v>#REF!</v>
      </c>
      <c r="AK24" s="26" t="e">
        <f>损益表!AE17</f>
        <v>#REF!</v>
      </c>
      <c r="AL24" s="26" t="e">
        <f>损益表!AF17</f>
        <v>#REF!</v>
      </c>
      <c r="AM24" s="26" t="e">
        <f>损益表!AG17</f>
        <v>#REF!</v>
      </c>
      <c r="AN24" s="43" t="e">
        <f t="shared" ref="AN24:AN29" si="7">SUM(D24:AM24)</f>
        <v>#REF!</v>
      </c>
    </row>
    <row r="25" ht="17.1" customHeight="true" spans="2:40">
      <c r="B25" s="16">
        <v>2.7</v>
      </c>
      <c r="C25" s="15" t="s">
        <v>861</v>
      </c>
      <c r="D25" s="17"/>
      <c r="E25" s="17"/>
      <c r="F25" s="26"/>
      <c r="G25" s="26"/>
      <c r="H25" s="26"/>
      <c r="I25" s="26"/>
      <c r="J25" s="26" t="e">
        <f>借款偿还!K12</f>
        <v>#REF!</v>
      </c>
      <c r="K25" s="26" t="e">
        <f>借款偿还!L12</f>
        <v>#REF!</v>
      </c>
      <c r="L25" s="26" t="e">
        <f>借款偿还!M12</f>
        <v>#REF!</v>
      </c>
      <c r="M25" s="26" t="e">
        <f>借款偿还!N12</f>
        <v>#REF!</v>
      </c>
      <c r="N25" s="26" t="e">
        <f>借款偿还!O12</f>
        <v>#REF!</v>
      </c>
      <c r="O25" s="26" t="e">
        <f>借款偿还!P12</f>
        <v>#REF!</v>
      </c>
      <c r="P25" s="26" t="e">
        <f>借款偿还!Q12</f>
        <v>#REF!</v>
      </c>
      <c r="Q25" s="26" t="e">
        <f>借款偿还!R12</f>
        <v>#REF!</v>
      </c>
      <c r="R25" s="26" t="e">
        <f>借款偿还!S12</f>
        <v>#REF!</v>
      </c>
      <c r="S25" s="26" t="e">
        <f>借款偿还!T12</f>
        <v>#REF!</v>
      </c>
      <c r="T25" s="26" t="e">
        <f>借款偿还!U12</f>
        <v>#REF!</v>
      </c>
      <c r="U25" s="26" t="e">
        <f>借款偿还!V12</f>
        <v>#REF!</v>
      </c>
      <c r="V25" s="26" t="e">
        <f>借款偿还!W12</f>
        <v>#REF!</v>
      </c>
      <c r="W25" s="26" t="e">
        <f>借款偿还!X12</f>
        <v>#REF!</v>
      </c>
      <c r="X25" s="26" t="e">
        <f>借款偿还!Y12</f>
        <v>#REF!</v>
      </c>
      <c r="Y25" s="26" t="e">
        <f>借款偿还!Z12</f>
        <v>#REF!</v>
      </c>
      <c r="Z25" s="26" t="e">
        <f>借款偿还!AA12</f>
        <v>#REF!</v>
      </c>
      <c r="AA25" s="26" t="e">
        <f>借款偿还!AE12</f>
        <v>#REF!</v>
      </c>
      <c r="AB25" s="26" t="e">
        <f>借款偿还!AF12</f>
        <v>#REF!</v>
      </c>
      <c r="AC25" s="26" t="e">
        <f>借款偿还!AL12</f>
        <v>#REF!</v>
      </c>
      <c r="AD25" s="26" t="e">
        <f>借款偿还!AM12</f>
        <v>#REF!</v>
      </c>
      <c r="AE25" s="26" t="e">
        <f>借款偿还!AN12</f>
        <v>#REF!</v>
      </c>
      <c r="AF25" s="26">
        <f>借款偿还!AO12</f>
        <v>0</v>
      </c>
      <c r="AG25" s="26">
        <f>借款偿还!AP12</f>
        <v>0</v>
      </c>
      <c r="AH25" s="26">
        <f>借款偿还!AQ12</f>
        <v>0</v>
      </c>
      <c r="AI25" s="26">
        <f>借款偿还!AR12</f>
        <v>0</v>
      </c>
      <c r="AJ25" s="26">
        <f>借款偿还!AS12</f>
        <v>0</v>
      </c>
      <c r="AK25" s="26">
        <f>借款偿还!AT12</f>
        <v>0</v>
      </c>
      <c r="AL25" s="26">
        <f>借款偿还!AU12</f>
        <v>0</v>
      </c>
      <c r="AM25" s="26">
        <f>借款偿还!AV12</f>
        <v>0</v>
      </c>
      <c r="AN25" s="43" t="e">
        <f t="shared" si="7"/>
        <v>#REF!</v>
      </c>
    </row>
    <row r="26" ht="17.1" customHeight="true" spans="2:40">
      <c r="B26" s="16">
        <v>2.8</v>
      </c>
      <c r="C26" s="15" t="s">
        <v>862</v>
      </c>
      <c r="D26" s="17"/>
      <c r="E26" s="17"/>
      <c r="F26" s="26"/>
      <c r="G26" s="26"/>
      <c r="H26" s="26"/>
      <c r="I26" s="26"/>
      <c r="J26" s="26">
        <f t="shared" ref="J26:AM26" si="8">IF(J4=zq,$AN$11,0)</f>
        <v>0</v>
      </c>
      <c r="K26" s="26">
        <f t="shared" si="8"/>
        <v>0</v>
      </c>
      <c r="L26" s="26">
        <f t="shared" si="8"/>
        <v>0</v>
      </c>
      <c r="M26" s="26">
        <f t="shared" si="8"/>
        <v>0</v>
      </c>
      <c r="N26" s="26">
        <f t="shared" si="8"/>
        <v>0</v>
      </c>
      <c r="O26" s="26">
        <f t="shared" si="8"/>
        <v>0</v>
      </c>
      <c r="P26" s="26">
        <f t="shared" si="8"/>
        <v>0</v>
      </c>
      <c r="Q26" s="26">
        <f t="shared" si="8"/>
        <v>0</v>
      </c>
      <c r="R26" s="26">
        <f t="shared" si="8"/>
        <v>0</v>
      </c>
      <c r="S26" s="26">
        <f t="shared" si="8"/>
        <v>0</v>
      </c>
      <c r="T26" s="26">
        <f t="shared" si="8"/>
        <v>0</v>
      </c>
      <c r="U26" s="26">
        <f t="shared" si="8"/>
        <v>0</v>
      </c>
      <c r="V26" s="26">
        <f t="shared" si="8"/>
        <v>0</v>
      </c>
      <c r="W26" s="26">
        <f t="shared" si="8"/>
        <v>0</v>
      </c>
      <c r="X26" s="26">
        <f t="shared" si="8"/>
        <v>0</v>
      </c>
      <c r="Y26" s="26">
        <f t="shared" si="8"/>
        <v>0</v>
      </c>
      <c r="Z26" s="26">
        <f t="shared" si="8"/>
        <v>0</v>
      </c>
      <c r="AA26" s="26">
        <f t="shared" si="8"/>
        <v>0</v>
      </c>
      <c r="AB26" s="26">
        <f t="shared" si="8"/>
        <v>0</v>
      </c>
      <c r="AC26" s="26">
        <f t="shared" si="8"/>
        <v>0</v>
      </c>
      <c r="AD26" s="26">
        <f t="shared" si="8"/>
        <v>0</v>
      </c>
      <c r="AE26" s="26">
        <f t="shared" si="8"/>
        <v>0</v>
      </c>
      <c r="AF26" s="26">
        <f t="shared" si="8"/>
        <v>0</v>
      </c>
      <c r="AG26" s="26">
        <f t="shared" si="8"/>
        <v>0</v>
      </c>
      <c r="AH26" s="26" t="e">
        <f t="shared" si="8"/>
        <v>#REF!</v>
      </c>
      <c r="AI26" s="26">
        <f t="shared" si="8"/>
        <v>0</v>
      </c>
      <c r="AJ26" s="26">
        <f t="shared" si="8"/>
        <v>0</v>
      </c>
      <c r="AK26" s="26">
        <f t="shared" si="8"/>
        <v>0</v>
      </c>
      <c r="AL26" s="26">
        <f t="shared" si="8"/>
        <v>0</v>
      </c>
      <c r="AM26" s="26">
        <f t="shared" si="8"/>
        <v>0</v>
      </c>
      <c r="AN26" s="43" t="e">
        <f t="shared" si="7"/>
        <v>#REF!</v>
      </c>
    </row>
    <row r="27" ht="17.1" customHeight="true" spans="2:40">
      <c r="B27" s="16">
        <v>2.8</v>
      </c>
      <c r="C27" s="15" t="s">
        <v>863</v>
      </c>
      <c r="D27" s="17"/>
      <c r="E27" s="17"/>
      <c r="F27" s="26"/>
      <c r="G27" s="26"/>
      <c r="H27" s="26"/>
      <c r="I27" s="26"/>
      <c r="J27" s="26"/>
      <c r="K27" s="26">
        <f t="shared" ref="K27:T27" si="9">J12</f>
        <v>0</v>
      </c>
      <c r="L27" s="26">
        <f t="shared" si="9"/>
        <v>0</v>
      </c>
      <c r="M27" s="26">
        <f t="shared" si="9"/>
        <v>0</v>
      </c>
      <c r="N27" s="26">
        <f t="shared" si="9"/>
        <v>0</v>
      </c>
      <c r="O27" s="26">
        <f t="shared" si="9"/>
        <v>0</v>
      </c>
      <c r="P27" s="26">
        <f t="shared" si="9"/>
        <v>0</v>
      </c>
      <c r="Q27" s="26">
        <f t="shared" si="9"/>
        <v>0</v>
      </c>
      <c r="R27" s="26">
        <f t="shared" si="9"/>
        <v>0</v>
      </c>
      <c r="S27" s="26">
        <f t="shared" si="9"/>
        <v>0</v>
      </c>
      <c r="T27" s="26">
        <f t="shared" si="9"/>
        <v>0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43">
        <f t="shared" si="7"/>
        <v>0</v>
      </c>
    </row>
    <row r="28" ht="17.1" customHeight="true" spans="2:40">
      <c r="B28" s="16"/>
      <c r="C28" s="19" t="s">
        <v>864</v>
      </c>
      <c r="D28" s="17">
        <f t="shared" ref="D28:AM28" si="10">SUM(D19:D27)</f>
        <v>0</v>
      </c>
      <c r="E28" s="17">
        <f t="shared" si="10"/>
        <v>0</v>
      </c>
      <c r="F28" s="26" t="e">
        <f t="shared" si="10"/>
        <v>#REF!</v>
      </c>
      <c r="G28" s="26" t="e">
        <f t="shared" si="10"/>
        <v>#REF!</v>
      </c>
      <c r="H28" s="26" t="e">
        <f t="shared" si="10"/>
        <v>#REF!</v>
      </c>
      <c r="I28" s="26" t="e">
        <f t="shared" si="10"/>
        <v>#REF!</v>
      </c>
      <c r="J28" s="26" t="e">
        <f t="shared" si="10"/>
        <v>#REF!</v>
      </c>
      <c r="K28" s="26" t="e">
        <f t="shared" si="10"/>
        <v>#REF!</v>
      </c>
      <c r="L28" s="26" t="e">
        <f t="shared" si="10"/>
        <v>#REF!</v>
      </c>
      <c r="M28" s="26" t="e">
        <f t="shared" si="10"/>
        <v>#REF!</v>
      </c>
      <c r="N28" s="26" t="e">
        <f t="shared" si="10"/>
        <v>#REF!</v>
      </c>
      <c r="O28" s="26" t="e">
        <f t="shared" si="10"/>
        <v>#REF!</v>
      </c>
      <c r="P28" s="26" t="e">
        <f t="shared" si="10"/>
        <v>#REF!</v>
      </c>
      <c r="Q28" s="26" t="e">
        <f t="shared" si="10"/>
        <v>#REF!</v>
      </c>
      <c r="R28" s="26" t="e">
        <f t="shared" si="10"/>
        <v>#REF!</v>
      </c>
      <c r="S28" s="26" t="e">
        <f t="shared" si="10"/>
        <v>#REF!</v>
      </c>
      <c r="T28" s="26" t="e">
        <f t="shared" si="10"/>
        <v>#REF!</v>
      </c>
      <c r="U28" s="26" t="e">
        <f t="shared" si="10"/>
        <v>#REF!</v>
      </c>
      <c r="V28" s="26" t="e">
        <f t="shared" si="10"/>
        <v>#REF!</v>
      </c>
      <c r="W28" s="26" t="e">
        <f t="shared" si="10"/>
        <v>#REF!</v>
      </c>
      <c r="X28" s="26" t="e">
        <f t="shared" si="10"/>
        <v>#REF!</v>
      </c>
      <c r="Y28" s="26" t="e">
        <f t="shared" si="10"/>
        <v>#REF!</v>
      </c>
      <c r="Z28" s="26" t="e">
        <f t="shared" si="10"/>
        <v>#REF!</v>
      </c>
      <c r="AA28" s="26" t="e">
        <f t="shared" si="10"/>
        <v>#REF!</v>
      </c>
      <c r="AB28" s="26" t="e">
        <f t="shared" si="10"/>
        <v>#REF!</v>
      </c>
      <c r="AC28" s="26" t="e">
        <f t="shared" si="10"/>
        <v>#REF!</v>
      </c>
      <c r="AD28" s="26" t="e">
        <f t="shared" si="10"/>
        <v>#REF!</v>
      </c>
      <c r="AE28" s="26" t="e">
        <f t="shared" si="10"/>
        <v>#REF!</v>
      </c>
      <c r="AF28" s="26" t="e">
        <f t="shared" si="10"/>
        <v>#REF!</v>
      </c>
      <c r="AG28" s="26" t="e">
        <f t="shared" si="10"/>
        <v>#REF!</v>
      </c>
      <c r="AH28" s="26" t="e">
        <f t="shared" si="10"/>
        <v>#REF!</v>
      </c>
      <c r="AI28" s="26" t="e">
        <f t="shared" si="10"/>
        <v>#REF!</v>
      </c>
      <c r="AJ28" s="26" t="e">
        <f t="shared" si="10"/>
        <v>#REF!</v>
      </c>
      <c r="AK28" s="26" t="e">
        <f t="shared" si="10"/>
        <v>#REF!</v>
      </c>
      <c r="AL28" s="26" t="e">
        <f t="shared" si="10"/>
        <v>#REF!</v>
      </c>
      <c r="AM28" s="26" t="e">
        <f t="shared" si="10"/>
        <v>#REF!</v>
      </c>
      <c r="AN28" s="43" t="e">
        <f t="shared" si="7"/>
        <v>#REF!</v>
      </c>
    </row>
    <row r="29" ht="17.1" customHeight="true" spans="2:40">
      <c r="B29" s="13">
        <v>3</v>
      </c>
      <c r="C29" s="14" t="s">
        <v>865</v>
      </c>
      <c r="D29" s="15">
        <f t="shared" ref="D29:F29" si="11">D17-D28</f>
        <v>0</v>
      </c>
      <c r="E29" s="15">
        <f t="shared" si="11"/>
        <v>0</v>
      </c>
      <c r="F29" s="26" t="e">
        <f t="shared" si="11"/>
        <v>#REF!</v>
      </c>
      <c r="G29" s="26"/>
      <c r="H29" s="26"/>
      <c r="I29" s="26"/>
      <c r="J29" s="26" t="e">
        <f t="shared" ref="J29:AM29" si="12">ROUND(J17-J28,2)</f>
        <v>#REF!</v>
      </c>
      <c r="K29" s="26" t="e">
        <f t="shared" si="12"/>
        <v>#REF!</v>
      </c>
      <c r="L29" s="26" t="e">
        <f t="shared" si="12"/>
        <v>#REF!</v>
      </c>
      <c r="M29" s="26" t="e">
        <f t="shared" si="12"/>
        <v>#REF!</v>
      </c>
      <c r="N29" s="26" t="e">
        <f t="shared" si="12"/>
        <v>#REF!</v>
      </c>
      <c r="O29" s="26" t="e">
        <f t="shared" si="12"/>
        <v>#REF!</v>
      </c>
      <c r="P29" s="26" t="e">
        <f t="shared" si="12"/>
        <v>#REF!</v>
      </c>
      <c r="Q29" s="26" t="e">
        <f t="shared" si="12"/>
        <v>#REF!</v>
      </c>
      <c r="R29" s="26" t="e">
        <f t="shared" si="12"/>
        <v>#REF!</v>
      </c>
      <c r="S29" s="26" t="e">
        <f t="shared" si="12"/>
        <v>#REF!</v>
      </c>
      <c r="T29" s="26" t="e">
        <f t="shared" si="12"/>
        <v>#REF!</v>
      </c>
      <c r="U29" s="26" t="e">
        <f t="shared" si="12"/>
        <v>#REF!</v>
      </c>
      <c r="V29" s="26" t="e">
        <f t="shared" si="12"/>
        <v>#REF!</v>
      </c>
      <c r="W29" s="26" t="e">
        <f t="shared" si="12"/>
        <v>#REF!</v>
      </c>
      <c r="X29" s="26" t="e">
        <f t="shared" si="12"/>
        <v>#REF!</v>
      </c>
      <c r="Y29" s="26" t="e">
        <f t="shared" si="12"/>
        <v>#REF!</v>
      </c>
      <c r="Z29" s="26" t="e">
        <f t="shared" si="12"/>
        <v>#REF!</v>
      </c>
      <c r="AA29" s="26" t="e">
        <f t="shared" si="12"/>
        <v>#REF!</v>
      </c>
      <c r="AB29" s="26" t="e">
        <f t="shared" si="12"/>
        <v>#REF!</v>
      </c>
      <c r="AC29" s="26" t="e">
        <f t="shared" si="12"/>
        <v>#REF!</v>
      </c>
      <c r="AD29" s="26" t="e">
        <f t="shared" si="12"/>
        <v>#REF!</v>
      </c>
      <c r="AE29" s="26" t="e">
        <f t="shared" si="12"/>
        <v>#REF!</v>
      </c>
      <c r="AF29" s="26" t="e">
        <f t="shared" si="12"/>
        <v>#REF!</v>
      </c>
      <c r="AG29" s="26" t="e">
        <f t="shared" si="12"/>
        <v>#REF!</v>
      </c>
      <c r="AH29" s="26" t="e">
        <f t="shared" si="12"/>
        <v>#REF!</v>
      </c>
      <c r="AI29" s="26" t="e">
        <f t="shared" si="12"/>
        <v>#REF!</v>
      </c>
      <c r="AJ29" s="26" t="e">
        <f t="shared" si="12"/>
        <v>#REF!</v>
      </c>
      <c r="AK29" s="26" t="e">
        <f t="shared" si="12"/>
        <v>#REF!</v>
      </c>
      <c r="AL29" s="26" t="e">
        <f t="shared" si="12"/>
        <v>#REF!</v>
      </c>
      <c r="AM29" s="26" t="e">
        <f t="shared" si="12"/>
        <v>#REF!</v>
      </c>
      <c r="AN29" s="43" t="e">
        <f t="shared" si="7"/>
        <v>#REF!</v>
      </c>
    </row>
    <row r="30" ht="17.1" customHeight="true" spans="2:40">
      <c r="B30" s="20">
        <v>4</v>
      </c>
      <c r="C30" s="21" t="s">
        <v>758</v>
      </c>
      <c r="D30" s="22">
        <f>D29</f>
        <v>0</v>
      </c>
      <c r="E30" s="22">
        <f>D30+E29</f>
        <v>0</v>
      </c>
      <c r="F30" s="27" t="e">
        <f>E30+F29</f>
        <v>#REF!</v>
      </c>
      <c r="G30" s="27"/>
      <c r="H30" s="27"/>
      <c r="I30" s="27"/>
      <c r="J30" s="27" t="e">
        <f t="shared" ref="J30:AM30" si="13">IF(J4&gt;zq,0,I30+J29)</f>
        <v>#REF!</v>
      </c>
      <c r="K30" s="27" t="e">
        <f t="shared" si="13"/>
        <v>#REF!</v>
      </c>
      <c r="L30" s="27" t="e">
        <f t="shared" si="13"/>
        <v>#REF!</v>
      </c>
      <c r="M30" s="27" t="e">
        <f t="shared" si="13"/>
        <v>#REF!</v>
      </c>
      <c r="N30" s="27" t="e">
        <f t="shared" si="13"/>
        <v>#REF!</v>
      </c>
      <c r="O30" s="27" t="e">
        <f t="shared" si="13"/>
        <v>#REF!</v>
      </c>
      <c r="P30" s="27" t="e">
        <f t="shared" si="13"/>
        <v>#REF!</v>
      </c>
      <c r="Q30" s="27" t="e">
        <f t="shared" si="13"/>
        <v>#REF!</v>
      </c>
      <c r="R30" s="27" t="e">
        <f t="shared" si="13"/>
        <v>#REF!</v>
      </c>
      <c r="S30" s="27" t="e">
        <f t="shared" si="13"/>
        <v>#REF!</v>
      </c>
      <c r="T30" s="27" t="e">
        <f t="shared" si="13"/>
        <v>#REF!</v>
      </c>
      <c r="U30" s="27" t="e">
        <f t="shared" si="13"/>
        <v>#REF!</v>
      </c>
      <c r="V30" s="27" t="e">
        <f t="shared" si="13"/>
        <v>#REF!</v>
      </c>
      <c r="W30" s="27" t="e">
        <f t="shared" si="13"/>
        <v>#REF!</v>
      </c>
      <c r="X30" s="27" t="e">
        <f t="shared" si="13"/>
        <v>#REF!</v>
      </c>
      <c r="Y30" s="27" t="e">
        <f t="shared" si="13"/>
        <v>#REF!</v>
      </c>
      <c r="Z30" s="27" t="e">
        <f t="shared" si="13"/>
        <v>#REF!</v>
      </c>
      <c r="AA30" s="27" t="e">
        <f t="shared" si="13"/>
        <v>#REF!</v>
      </c>
      <c r="AB30" s="27" t="e">
        <f t="shared" si="13"/>
        <v>#REF!</v>
      </c>
      <c r="AC30" s="27" t="e">
        <f t="shared" si="13"/>
        <v>#REF!</v>
      </c>
      <c r="AD30" s="27" t="e">
        <f t="shared" si="13"/>
        <v>#REF!</v>
      </c>
      <c r="AE30" s="27" t="e">
        <f t="shared" si="13"/>
        <v>#REF!</v>
      </c>
      <c r="AF30" s="27" t="e">
        <f t="shared" si="13"/>
        <v>#REF!</v>
      </c>
      <c r="AG30" s="27" t="e">
        <f t="shared" si="13"/>
        <v>#REF!</v>
      </c>
      <c r="AH30" s="27" t="e">
        <f t="shared" si="13"/>
        <v>#REF!</v>
      </c>
      <c r="AI30" s="27">
        <f t="shared" si="13"/>
        <v>0</v>
      </c>
      <c r="AJ30" s="27">
        <f t="shared" si="13"/>
        <v>0</v>
      </c>
      <c r="AK30" s="27">
        <f t="shared" si="13"/>
        <v>0</v>
      </c>
      <c r="AL30" s="27">
        <f t="shared" si="13"/>
        <v>0</v>
      </c>
      <c r="AM30" s="27">
        <f t="shared" si="13"/>
        <v>0</v>
      </c>
      <c r="AN30" s="44"/>
    </row>
    <row r="32" spans="7:17">
      <c r="G32" s="28"/>
      <c r="J32" s="36" t="e">
        <f t="shared" ref="J32:Q32" si="14">-J30</f>
        <v>#REF!</v>
      </c>
      <c r="K32" s="36" t="e">
        <f t="shared" si="14"/>
        <v>#REF!</v>
      </c>
      <c r="L32" s="36" t="e">
        <f t="shared" si="14"/>
        <v>#REF!</v>
      </c>
      <c r="M32" s="36" t="e">
        <f t="shared" si="14"/>
        <v>#REF!</v>
      </c>
      <c r="N32" s="36" t="e">
        <f t="shared" si="14"/>
        <v>#REF!</v>
      </c>
      <c r="O32" s="36" t="e">
        <f t="shared" si="14"/>
        <v>#REF!</v>
      </c>
      <c r="P32" s="36" t="e">
        <f t="shared" si="14"/>
        <v>#REF!</v>
      </c>
      <c r="Q32" s="36" t="e">
        <f t="shared" si="14"/>
        <v>#REF!</v>
      </c>
    </row>
    <row r="33" spans="3:3">
      <c r="C33" s="23"/>
    </row>
  </sheetData>
  <mergeCells count="3">
    <mergeCell ref="D3:I3"/>
    <mergeCell ref="AD3:AM3"/>
    <mergeCell ref="AN3:AN4"/>
  </mergeCells>
  <printOptions horizontalCentered="true"/>
  <pageMargins left="0.25" right="0.15" top="1.24" bottom="0.25" header="0.88" footer="0.21"/>
  <pageSetup paperSize="9" scale="85" orientation="landscape"/>
  <headerFooter alignWithMargins="0">
    <oddHeader>&amp;C&amp;"黑体,常规"&amp;18资金来源与运用表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C17" sqref="C17"/>
    </sheetView>
  </sheetViews>
  <sheetFormatPr defaultColWidth="8.875" defaultRowHeight="13.5" outlineLevelCol="2"/>
  <cols>
    <col min="1" max="3" width="24.875" customWidth="true"/>
  </cols>
  <sheetData>
    <row r="1" ht="18.75" spans="1:3">
      <c r="A1" s="498" t="s">
        <v>473</v>
      </c>
      <c r="B1" s="498"/>
      <c r="C1" s="498"/>
    </row>
    <row r="2" spans="1:3">
      <c r="A2" s="499" t="s">
        <v>474</v>
      </c>
      <c r="B2" s="500" t="s">
        <v>475</v>
      </c>
      <c r="C2" s="501" t="s">
        <v>476</v>
      </c>
    </row>
    <row r="3" ht="23.1" customHeight="true" spans="1:3">
      <c r="A3" s="502" t="s">
        <v>23</v>
      </c>
      <c r="B3" s="503" t="s">
        <v>477</v>
      </c>
      <c r="C3" s="501">
        <f>SUM(C4:C10)</f>
        <v>14244502.3</v>
      </c>
    </row>
    <row r="4" ht="27" spans="1:3">
      <c r="A4" s="504">
        <v>1</v>
      </c>
      <c r="B4" s="505" t="s">
        <v>478</v>
      </c>
      <c r="C4" s="506">
        <f>[4]管网监测!F3</f>
        <v>1544675.96</v>
      </c>
    </row>
    <row r="5" ht="27" spans="1:3">
      <c r="A5" s="504">
        <v>2</v>
      </c>
      <c r="B5" s="505" t="s">
        <v>479</v>
      </c>
      <c r="C5" s="506">
        <f>[4]管网监测!F22</f>
        <v>1424113.24</v>
      </c>
    </row>
    <row r="6" ht="15.75" spans="1:3">
      <c r="A6" s="504">
        <v>3</v>
      </c>
      <c r="B6" s="505" t="s">
        <v>480</v>
      </c>
      <c r="C6" s="506">
        <f>[4]管网监测!F36</f>
        <v>895287.28</v>
      </c>
    </row>
    <row r="7" ht="27" spans="1:3">
      <c r="A7" s="504">
        <v>4</v>
      </c>
      <c r="B7" s="505" t="s">
        <v>481</v>
      </c>
      <c r="C7" s="506">
        <f>[4]管网监测!F47</f>
        <v>7579881.42</v>
      </c>
    </row>
    <row r="8" ht="15.75" spans="1:3">
      <c r="A8" s="504">
        <v>5</v>
      </c>
      <c r="B8" s="505" t="s">
        <v>482</v>
      </c>
      <c r="C8" s="506">
        <f>[4]管网监测!F61</f>
        <v>1637654.4</v>
      </c>
    </row>
    <row r="9" ht="15.75" spans="1:3">
      <c r="A9" s="504">
        <v>6</v>
      </c>
      <c r="B9" s="505" t="s">
        <v>483</v>
      </c>
      <c r="C9" s="506">
        <f>[4]管网监测!F68</f>
        <v>318890</v>
      </c>
    </row>
    <row r="10" ht="15.75" spans="1:3">
      <c r="A10" s="504">
        <v>7</v>
      </c>
      <c r="B10" s="505" t="s">
        <v>484</v>
      </c>
      <c r="C10" s="506">
        <f>[4]管网监测!F76</f>
        <v>844000</v>
      </c>
    </row>
    <row r="11" ht="15.75" spans="1:3">
      <c r="A11" s="507" t="s">
        <v>34</v>
      </c>
      <c r="B11" s="508" t="s">
        <v>485</v>
      </c>
      <c r="C11" s="509">
        <f>[4]信息化!F23</f>
        <v>3297950</v>
      </c>
    </row>
    <row r="12" ht="15.75" spans="1:3">
      <c r="A12" s="504">
        <v>1</v>
      </c>
      <c r="B12" s="510" t="s">
        <v>486</v>
      </c>
      <c r="C12" s="506">
        <f>[4]信息化!G3</f>
        <v>1050000</v>
      </c>
    </row>
    <row r="13" ht="15.75" spans="1:3">
      <c r="A13" s="504">
        <v>2</v>
      </c>
      <c r="B13" s="511" t="s">
        <v>487</v>
      </c>
      <c r="C13" s="506">
        <f>[4]信息化!G8</f>
        <v>950000</v>
      </c>
    </row>
    <row r="14" ht="15.75" spans="1:3">
      <c r="A14" s="504">
        <v>3</v>
      </c>
      <c r="B14" s="511" t="s">
        <v>488</v>
      </c>
      <c r="C14" s="506">
        <f>[4]信息化!G9</f>
        <v>300000</v>
      </c>
    </row>
    <row r="15" ht="15.75" spans="1:3">
      <c r="A15" s="504">
        <v>4</v>
      </c>
      <c r="B15" s="511" t="s">
        <v>489</v>
      </c>
      <c r="C15" s="506">
        <f>[4]信息化!G10</f>
        <v>400000</v>
      </c>
    </row>
    <row r="16" ht="15.75" spans="1:3">
      <c r="A16" s="504">
        <v>5</v>
      </c>
      <c r="B16" s="511" t="s">
        <v>490</v>
      </c>
      <c r="C16" s="506">
        <f>[4]信息化!G11</f>
        <v>597950</v>
      </c>
    </row>
    <row r="17" ht="15.75" spans="1:3">
      <c r="A17" s="500" t="s">
        <v>491</v>
      </c>
      <c r="B17" s="500"/>
      <c r="C17" s="509">
        <f>C11+C3</f>
        <v>17542452.3</v>
      </c>
    </row>
  </sheetData>
  <mergeCells count="2">
    <mergeCell ref="A1:C1"/>
    <mergeCell ref="A17:B17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5:R140"/>
  <sheetViews>
    <sheetView topLeftCell="A88" workbookViewId="0">
      <selection activeCell="H113" sqref="H113"/>
    </sheetView>
  </sheetViews>
  <sheetFormatPr defaultColWidth="8.875" defaultRowHeight="13.5"/>
  <sheetData>
    <row r="5" spans="8:8">
      <c r="H5">
        <v>700</v>
      </c>
    </row>
    <row r="6" spans="8:8">
      <c r="H6">
        <v>280000</v>
      </c>
    </row>
    <row r="7" spans="8:8">
      <c r="H7">
        <v>28000</v>
      </c>
    </row>
    <row r="8" spans="8:8">
      <c r="H8">
        <v>3000</v>
      </c>
    </row>
    <row r="9" spans="8:8">
      <c r="H9">
        <v>12500</v>
      </c>
    </row>
    <row r="10" spans="8:8">
      <c r="H10">
        <v>9000</v>
      </c>
    </row>
    <row r="11" spans="8:8">
      <c r="H11">
        <v>9000</v>
      </c>
    </row>
    <row r="12" spans="8:8">
      <c r="H12">
        <v>15000</v>
      </c>
    </row>
    <row r="13" spans="8:8">
      <c r="H13">
        <v>54000</v>
      </c>
    </row>
    <row r="14" spans="8:8">
      <c r="H14">
        <v>25000</v>
      </c>
    </row>
    <row r="15" spans="8:8">
      <c r="H15">
        <v>14000</v>
      </c>
    </row>
    <row r="16" spans="8:8">
      <c r="H16">
        <v>24000</v>
      </c>
    </row>
    <row r="17" spans="8:8">
      <c r="H17">
        <v>24000</v>
      </c>
    </row>
    <row r="18" spans="8:8">
      <c r="H18">
        <v>20700</v>
      </c>
    </row>
    <row r="19" spans="8:8">
      <c r="H19">
        <v>35500</v>
      </c>
    </row>
    <row r="20" spans="8:8">
      <c r="H20">
        <v>50000</v>
      </c>
    </row>
    <row r="21" spans="8:8">
      <c r="H21">
        <v>50400</v>
      </c>
    </row>
    <row r="22" spans="8:8">
      <c r="H22">
        <v>72000</v>
      </c>
    </row>
    <row r="23" spans="8:8">
      <c r="H23">
        <v>24000</v>
      </c>
    </row>
    <row r="24" spans="8:8">
      <c r="H24">
        <v>2300</v>
      </c>
    </row>
    <row r="25" spans="8:8">
      <c r="H25">
        <v>36800</v>
      </c>
    </row>
    <row r="26" spans="8:8">
      <c r="H26">
        <v>24000</v>
      </c>
    </row>
    <row r="27" spans="8:8">
      <c r="H27">
        <v>40000</v>
      </c>
    </row>
    <row r="28" spans="8:8">
      <c r="H28">
        <v>15000</v>
      </c>
    </row>
    <row r="29" spans="8:8">
      <c r="H29">
        <v>8000</v>
      </c>
    </row>
    <row r="30" spans="8:8">
      <c r="H30">
        <v>9000</v>
      </c>
    </row>
    <row r="31" spans="8:8">
      <c r="H31">
        <v>5000</v>
      </c>
    </row>
    <row r="32" spans="8:8">
      <c r="H32">
        <v>9000</v>
      </c>
    </row>
    <row r="33" spans="8:8">
      <c r="H33">
        <v>14000</v>
      </c>
    </row>
    <row r="34" spans="8:8">
      <c r="H34">
        <v>50000</v>
      </c>
    </row>
    <row r="35" spans="8:8">
      <c r="H35">
        <v>6000</v>
      </c>
    </row>
    <row r="36" spans="8:8">
      <c r="H36">
        <v>10000</v>
      </c>
    </row>
    <row r="37" spans="8:8">
      <c r="H37">
        <v>36000</v>
      </c>
    </row>
    <row r="38" spans="8:8">
      <c r="H38">
        <v>80000</v>
      </c>
    </row>
    <row r="39" spans="8:8">
      <c r="H39">
        <v>240000</v>
      </c>
    </row>
    <row r="40" spans="8:8">
      <c r="H40">
        <v>70000</v>
      </c>
    </row>
    <row r="41" spans="8:8">
      <c r="H41">
        <v>120000</v>
      </c>
    </row>
    <row r="42" spans="8:8">
      <c r="H42">
        <v>3000</v>
      </c>
    </row>
    <row r="43" spans="8:8">
      <c r="H43">
        <v>150000</v>
      </c>
    </row>
    <row r="44" spans="8:8">
      <c r="H44">
        <v>100000</v>
      </c>
    </row>
    <row r="45" spans="8:8">
      <c r="H45">
        <v>180000</v>
      </c>
    </row>
    <row r="46" spans="8:8">
      <c r="H46">
        <v>110000</v>
      </c>
    </row>
    <row r="47" spans="8:8">
      <c r="H47">
        <v>3000</v>
      </c>
    </row>
    <row r="48" spans="8:15">
      <c r="H48">
        <v>36000</v>
      </c>
      <c r="O48">
        <v>700</v>
      </c>
    </row>
    <row r="49" spans="8:15">
      <c r="H49">
        <v>200000</v>
      </c>
      <c r="O49">
        <v>280000</v>
      </c>
    </row>
    <row r="50" spans="8:15">
      <c r="H50">
        <v>45000</v>
      </c>
      <c r="O50">
        <v>28000</v>
      </c>
    </row>
    <row r="51" spans="8:15">
      <c r="H51">
        <v>5000</v>
      </c>
      <c r="O51">
        <v>3000</v>
      </c>
    </row>
    <row r="52" spans="8:15">
      <c r="H52">
        <v>2300</v>
      </c>
      <c r="O52">
        <v>10000</v>
      </c>
    </row>
    <row r="53" spans="8:15">
      <c r="H53">
        <v>23000</v>
      </c>
      <c r="O53">
        <v>9000</v>
      </c>
    </row>
    <row r="54" spans="8:15">
      <c r="H54">
        <v>360000</v>
      </c>
      <c r="O54">
        <v>9000</v>
      </c>
    </row>
    <row r="55" spans="8:15">
      <c r="H55">
        <v>4500</v>
      </c>
      <c r="O55">
        <v>15000</v>
      </c>
    </row>
    <row r="56" spans="8:15">
      <c r="H56">
        <v>7200</v>
      </c>
      <c r="O56">
        <v>54000</v>
      </c>
    </row>
    <row r="57" spans="8:15">
      <c r="H57">
        <v>25000</v>
      </c>
      <c r="O57">
        <v>25000</v>
      </c>
    </row>
    <row r="58" spans="8:15">
      <c r="H58">
        <v>9000</v>
      </c>
      <c r="O58">
        <v>11200</v>
      </c>
    </row>
    <row r="59" spans="15:15">
      <c r="O59">
        <v>18000</v>
      </c>
    </row>
    <row r="60" spans="15:15">
      <c r="O60">
        <v>18000</v>
      </c>
    </row>
    <row r="61" spans="15:15">
      <c r="O61">
        <v>16100</v>
      </c>
    </row>
    <row r="62" spans="15:15">
      <c r="O62">
        <v>28400</v>
      </c>
    </row>
    <row r="63" spans="15:15">
      <c r="O63">
        <v>50000</v>
      </c>
    </row>
    <row r="64" spans="15:15">
      <c r="O64">
        <v>36000</v>
      </c>
    </row>
    <row r="65" spans="15:15">
      <c r="O65">
        <v>56000</v>
      </c>
    </row>
    <row r="66" spans="15:15">
      <c r="O66">
        <v>18000</v>
      </c>
    </row>
    <row r="67" spans="15:15">
      <c r="O67">
        <v>2300</v>
      </c>
    </row>
    <row r="68" spans="15:15">
      <c r="O68">
        <v>27600</v>
      </c>
    </row>
    <row r="69" spans="15:15">
      <c r="O69">
        <v>16000</v>
      </c>
    </row>
    <row r="70" spans="15:15">
      <c r="O70">
        <v>40000</v>
      </c>
    </row>
    <row r="71" spans="15:15">
      <c r="O71">
        <v>15000</v>
      </c>
    </row>
    <row r="72" spans="15:15">
      <c r="O72">
        <v>8000</v>
      </c>
    </row>
    <row r="73" spans="15:15">
      <c r="O73">
        <v>9000</v>
      </c>
    </row>
    <row r="74" spans="15:15">
      <c r="O74">
        <v>5000</v>
      </c>
    </row>
    <row r="75" spans="15:15">
      <c r="O75">
        <v>9000</v>
      </c>
    </row>
    <row r="76" spans="15:15">
      <c r="O76">
        <v>14000</v>
      </c>
    </row>
    <row r="77" spans="15:15">
      <c r="O77">
        <v>50000</v>
      </c>
    </row>
    <row r="78" spans="15:15">
      <c r="O78">
        <v>3000</v>
      </c>
    </row>
    <row r="79" spans="15:15">
      <c r="O79">
        <v>10000</v>
      </c>
    </row>
    <row r="80" spans="15:15">
      <c r="O80">
        <v>24000</v>
      </c>
    </row>
    <row r="81" spans="15:15">
      <c r="O81">
        <v>60000</v>
      </c>
    </row>
    <row r="82" spans="15:15">
      <c r="O82">
        <v>120000</v>
      </c>
    </row>
    <row r="83" spans="15:15">
      <c r="O83">
        <v>100000</v>
      </c>
    </row>
    <row r="84" spans="15:15">
      <c r="O84">
        <v>80000</v>
      </c>
    </row>
    <row r="85" spans="15:15">
      <c r="O85">
        <v>0</v>
      </c>
    </row>
    <row r="86" spans="15:15">
      <c r="O86">
        <v>110000</v>
      </c>
    </row>
    <row r="87" spans="15:15">
      <c r="O87">
        <v>3000</v>
      </c>
    </row>
    <row r="88" spans="15:15">
      <c r="O88">
        <v>36000</v>
      </c>
    </row>
    <row r="89" spans="15:15">
      <c r="O89">
        <v>200000</v>
      </c>
    </row>
    <row r="90" spans="15:15">
      <c r="O90">
        <v>45000</v>
      </c>
    </row>
    <row r="91" spans="15:15">
      <c r="O91">
        <v>5000</v>
      </c>
    </row>
    <row r="92" spans="15:15">
      <c r="O92">
        <v>2300</v>
      </c>
    </row>
    <row r="93" spans="15:15">
      <c r="O93">
        <v>23000</v>
      </c>
    </row>
    <row r="94" spans="15:15">
      <c r="O94">
        <v>229500</v>
      </c>
    </row>
    <row r="95" spans="15:15">
      <c r="O95">
        <v>4500</v>
      </c>
    </row>
    <row r="96" spans="15:15">
      <c r="O96">
        <v>7200</v>
      </c>
    </row>
    <row r="97" spans="5:15">
      <c r="E97">
        <v>700</v>
      </c>
      <c r="O97">
        <v>25000</v>
      </c>
    </row>
    <row r="98" spans="5:15">
      <c r="E98">
        <v>28000</v>
      </c>
      <c r="O98">
        <v>6000</v>
      </c>
    </row>
    <row r="99" spans="5:5">
      <c r="E99">
        <v>3000</v>
      </c>
    </row>
    <row r="100" spans="5:5">
      <c r="E100">
        <v>5000</v>
      </c>
    </row>
    <row r="101" spans="5:10">
      <c r="E101">
        <v>9000</v>
      </c>
      <c r="J101">
        <v>10000</v>
      </c>
    </row>
    <row r="102" spans="5:10">
      <c r="E102">
        <v>9000</v>
      </c>
      <c r="J102">
        <v>10000</v>
      </c>
    </row>
    <row r="103" spans="5:10">
      <c r="E103">
        <v>15000</v>
      </c>
      <c r="J103">
        <v>15000</v>
      </c>
    </row>
    <row r="104" spans="5:15">
      <c r="E104">
        <v>54000</v>
      </c>
      <c r="J104">
        <v>8000</v>
      </c>
      <c r="O104">
        <v>100000</v>
      </c>
    </row>
    <row r="105" spans="5:15">
      <c r="E105">
        <v>25000</v>
      </c>
      <c r="J105">
        <v>50000</v>
      </c>
      <c r="O105">
        <v>480000</v>
      </c>
    </row>
    <row r="106" spans="5:18">
      <c r="E106">
        <v>5600</v>
      </c>
      <c r="J106">
        <v>1500000</v>
      </c>
      <c r="O106">
        <v>210000</v>
      </c>
      <c r="R106">
        <v>50000</v>
      </c>
    </row>
    <row r="107" spans="5:18">
      <c r="E107">
        <v>12000</v>
      </c>
      <c r="J107">
        <v>10000</v>
      </c>
      <c r="O107">
        <v>420000</v>
      </c>
      <c r="R107">
        <v>480000</v>
      </c>
    </row>
    <row r="108" spans="5:18">
      <c r="E108">
        <v>12000</v>
      </c>
      <c r="O108">
        <v>6000</v>
      </c>
      <c r="R108">
        <v>210000</v>
      </c>
    </row>
    <row r="109" spans="5:18">
      <c r="E109">
        <v>16100</v>
      </c>
      <c r="O109">
        <v>1000</v>
      </c>
      <c r="R109">
        <v>280000</v>
      </c>
    </row>
    <row r="110" spans="5:18">
      <c r="E110">
        <v>14200</v>
      </c>
      <c r="O110">
        <v>1000</v>
      </c>
      <c r="R110">
        <v>4000</v>
      </c>
    </row>
    <row r="111" spans="5:18">
      <c r="E111">
        <v>50000</v>
      </c>
      <c r="O111">
        <v>1000</v>
      </c>
      <c r="R111">
        <v>1000</v>
      </c>
    </row>
    <row r="112" spans="5:18">
      <c r="E112">
        <v>50400</v>
      </c>
      <c r="O112">
        <v>350000</v>
      </c>
      <c r="R112">
        <v>1000</v>
      </c>
    </row>
    <row r="113" spans="5:18">
      <c r="E113">
        <v>8000</v>
      </c>
      <c r="R113">
        <v>1000</v>
      </c>
    </row>
    <row r="114" spans="5:18">
      <c r="E114">
        <v>12000</v>
      </c>
      <c r="R114">
        <v>200000</v>
      </c>
    </row>
    <row r="115" spans="5:5">
      <c r="E115">
        <v>2300</v>
      </c>
    </row>
    <row r="116" spans="5:5">
      <c r="E116">
        <v>18400</v>
      </c>
    </row>
    <row r="117" spans="5:5">
      <c r="E117">
        <v>40000</v>
      </c>
    </row>
    <row r="118" spans="5:5">
      <c r="E118">
        <v>15000</v>
      </c>
    </row>
    <row r="119" spans="5:5">
      <c r="E119">
        <v>8000</v>
      </c>
    </row>
    <row r="120" spans="5:5">
      <c r="E120">
        <v>9000</v>
      </c>
    </row>
    <row r="121" spans="5:5">
      <c r="E121">
        <v>5000</v>
      </c>
    </row>
    <row r="122" spans="5:5">
      <c r="E122">
        <v>9000</v>
      </c>
    </row>
    <row r="123" spans="5:5">
      <c r="E123">
        <v>21000</v>
      </c>
    </row>
    <row r="124" spans="5:5">
      <c r="E124">
        <v>50000</v>
      </c>
    </row>
    <row r="125" spans="5:5">
      <c r="E125">
        <v>80000</v>
      </c>
    </row>
    <row r="126" spans="5:5">
      <c r="E126">
        <v>320000</v>
      </c>
    </row>
    <row r="127" spans="5:5">
      <c r="E127">
        <v>180000</v>
      </c>
    </row>
    <row r="128" spans="5:5">
      <c r="E128">
        <v>110000</v>
      </c>
    </row>
    <row r="129" spans="5:5">
      <c r="E129">
        <v>3000</v>
      </c>
    </row>
    <row r="130" spans="5:5">
      <c r="E130">
        <v>36000</v>
      </c>
    </row>
    <row r="131" spans="5:5">
      <c r="E131">
        <v>200000</v>
      </c>
    </row>
    <row r="132" spans="5:5">
      <c r="E132">
        <v>45000</v>
      </c>
    </row>
    <row r="133" spans="5:5">
      <c r="E133">
        <v>5000</v>
      </c>
    </row>
    <row r="134" spans="5:5">
      <c r="E134">
        <v>2300</v>
      </c>
    </row>
    <row r="135" spans="5:5">
      <c r="E135">
        <v>23000</v>
      </c>
    </row>
    <row r="136" spans="5:5">
      <c r="E136">
        <v>360000</v>
      </c>
    </row>
    <row r="137" spans="5:5">
      <c r="E137">
        <v>4500</v>
      </c>
    </row>
    <row r="138" spans="5:5">
      <c r="E138">
        <v>7200</v>
      </c>
    </row>
    <row r="139" spans="5:5">
      <c r="E139">
        <v>25000</v>
      </c>
    </row>
    <row r="140" spans="5:5">
      <c r="E140">
        <v>9000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B1:AG68"/>
  <sheetViews>
    <sheetView showGridLines="0" showZeros="0" zoomScale="75" zoomScaleNormal="75" topLeftCell="B18" workbookViewId="0">
      <selection activeCell="J39" sqref="J39"/>
    </sheetView>
  </sheetViews>
  <sheetFormatPr defaultColWidth="10" defaultRowHeight="14.25"/>
  <cols>
    <col min="1" max="1" width="2.125" style="412" customWidth="true"/>
    <col min="2" max="2" width="4" style="412" customWidth="true"/>
    <col min="3" max="3" width="38.375" style="412" customWidth="true"/>
    <col min="4" max="4" width="11.375" style="413" customWidth="true"/>
    <col min="5" max="5" width="12.75" style="412" customWidth="true"/>
    <col min="6" max="7" width="9.5" style="412" customWidth="true"/>
    <col min="8" max="8" width="10.125" style="412" customWidth="true"/>
    <col min="9" max="9" width="9.5" style="412" customWidth="true"/>
    <col min="10" max="10" width="11.5" style="412" customWidth="true"/>
    <col min="11" max="11" width="6" style="412" customWidth="true"/>
    <col min="12" max="12" width="8.125" style="412" customWidth="true"/>
    <col min="13" max="13" width="10.125" style="412" customWidth="true"/>
    <col min="14" max="14" width="15.25" style="412" customWidth="true"/>
    <col min="15" max="15" width="10" style="412"/>
    <col min="16" max="16" width="11.625" style="412" customWidth="true"/>
    <col min="17" max="16384" width="10" style="412"/>
  </cols>
  <sheetData>
    <row r="1" ht="9.2" customHeight="true"/>
    <row r="2" ht="24" customHeight="true" spans="6:7">
      <c r="F2" s="456" t="s">
        <v>492</v>
      </c>
      <c r="G2" s="457"/>
    </row>
    <row r="3" ht="6.75" customHeight="true" spans="2:13">
      <c r="B3" s="414"/>
      <c r="M3" s="414"/>
    </row>
    <row r="4" ht="16.5" customHeight="true" spans="2:14">
      <c r="B4" s="415" t="s">
        <v>493</v>
      </c>
      <c r="C4" s="416" t="s">
        <v>3</v>
      </c>
      <c r="D4" s="417"/>
      <c r="E4" s="422" t="s">
        <v>494</v>
      </c>
      <c r="F4" s="458"/>
      <c r="G4" s="458"/>
      <c r="H4" s="458"/>
      <c r="I4" s="458"/>
      <c r="J4" s="477"/>
      <c r="K4" s="422" t="s">
        <v>495</v>
      </c>
      <c r="L4" s="458"/>
      <c r="M4" s="477"/>
      <c r="N4" s="490"/>
    </row>
    <row r="5" ht="42.75" spans="2:14">
      <c r="B5" s="418" t="s">
        <v>496</v>
      </c>
      <c r="C5" s="419"/>
      <c r="D5" s="420"/>
      <c r="E5" s="459" t="s">
        <v>298</v>
      </c>
      <c r="F5" s="459" t="s">
        <v>497</v>
      </c>
      <c r="G5" s="459" t="s">
        <v>498</v>
      </c>
      <c r="H5" s="459" t="s">
        <v>499</v>
      </c>
      <c r="I5" s="421" t="s">
        <v>500</v>
      </c>
      <c r="J5" s="421" t="s">
        <v>305</v>
      </c>
      <c r="K5" s="421" t="s">
        <v>17</v>
      </c>
      <c r="L5" s="421" t="s">
        <v>18</v>
      </c>
      <c r="M5" s="459" t="s">
        <v>19</v>
      </c>
      <c r="N5" s="491" t="s">
        <v>9</v>
      </c>
    </row>
    <row r="6" s="411" customFormat="true" spans="2:14">
      <c r="B6" s="421">
        <v>1</v>
      </c>
      <c r="C6" s="422">
        <v>2</v>
      </c>
      <c r="D6" s="423"/>
      <c r="E6" s="421">
        <v>3</v>
      </c>
      <c r="F6" s="421">
        <v>4</v>
      </c>
      <c r="G6" s="421">
        <v>5</v>
      </c>
      <c r="H6" s="421">
        <v>6</v>
      </c>
      <c r="I6" s="421">
        <v>7</v>
      </c>
      <c r="J6" s="421">
        <v>8</v>
      </c>
      <c r="K6" s="421">
        <v>9</v>
      </c>
      <c r="L6" s="421">
        <v>10</v>
      </c>
      <c r="M6" s="421">
        <v>11</v>
      </c>
      <c r="N6" s="421">
        <v>12</v>
      </c>
    </row>
    <row r="7" customHeight="true" spans="2:14">
      <c r="B7" s="424" t="s">
        <v>23</v>
      </c>
      <c r="C7" s="425" t="s">
        <v>501</v>
      </c>
      <c r="D7" s="426"/>
      <c r="E7" s="460"/>
      <c r="F7" s="460"/>
      <c r="G7" s="460"/>
      <c r="H7" s="460"/>
      <c r="I7" s="460"/>
      <c r="J7" s="461"/>
      <c r="K7" s="478"/>
      <c r="L7" s="478"/>
      <c r="M7" s="478"/>
      <c r="N7" s="478"/>
    </row>
    <row r="8" ht="15.75" hidden="true" spans="2:14">
      <c r="B8" s="427"/>
      <c r="C8" s="428"/>
      <c r="D8" s="429"/>
      <c r="E8" s="460"/>
      <c r="F8" s="460"/>
      <c r="G8" s="460"/>
      <c r="H8" s="460"/>
      <c r="I8" s="460"/>
      <c r="J8" s="461"/>
      <c r="K8" s="478"/>
      <c r="L8" s="478"/>
      <c r="M8" s="478"/>
      <c r="N8" s="478"/>
    </row>
    <row r="9" hidden="true" spans="2:14">
      <c r="B9" s="430"/>
      <c r="C9" s="428"/>
      <c r="D9" s="429"/>
      <c r="E9" s="460"/>
      <c r="F9" s="460"/>
      <c r="G9" s="460"/>
      <c r="H9" s="460"/>
      <c r="I9" s="460"/>
      <c r="J9" s="461"/>
      <c r="K9" s="478"/>
      <c r="L9" s="478"/>
      <c r="M9" s="478"/>
      <c r="N9" s="478"/>
    </row>
    <row r="10" spans="2:14">
      <c r="B10" s="430"/>
      <c r="C10" s="431" t="s">
        <v>502</v>
      </c>
      <c r="D10" s="426"/>
      <c r="E10" s="460" t="e">
        <f>+总表!#REF!</f>
        <v>#REF!</v>
      </c>
      <c r="F10" s="460" t="e">
        <f>+总表!#REF!</f>
        <v>#REF!</v>
      </c>
      <c r="G10" s="460" t="e">
        <f>+总表!#REF!</f>
        <v>#REF!</v>
      </c>
      <c r="H10" s="460"/>
      <c r="I10" s="460"/>
      <c r="J10" s="460" t="e">
        <f>SUM(E10:I10)</f>
        <v>#REF!</v>
      </c>
      <c r="K10" s="479"/>
      <c r="L10" s="463"/>
      <c r="M10" s="464"/>
      <c r="N10" s="478"/>
    </row>
    <row r="11" hidden="true" spans="2:14">
      <c r="B11" s="430"/>
      <c r="C11" s="431"/>
      <c r="D11" s="426"/>
      <c r="E11" s="460"/>
      <c r="F11" s="460"/>
      <c r="G11" s="460"/>
      <c r="H11" s="460"/>
      <c r="I11" s="460"/>
      <c r="J11" s="461"/>
      <c r="K11" s="480"/>
      <c r="L11" s="463"/>
      <c r="M11" s="464"/>
      <c r="N11" s="478"/>
    </row>
    <row r="12" hidden="true" spans="2:14">
      <c r="B12" s="430"/>
      <c r="C12" s="431"/>
      <c r="D12" s="426"/>
      <c r="E12" s="460"/>
      <c r="F12" s="460"/>
      <c r="G12" s="460"/>
      <c r="H12" s="460"/>
      <c r="I12" s="460"/>
      <c r="J12" s="461"/>
      <c r="K12" s="480"/>
      <c r="L12" s="463"/>
      <c r="M12" s="464"/>
      <c r="N12" s="478"/>
    </row>
    <row r="13" hidden="true" spans="2:14">
      <c r="B13" s="430"/>
      <c r="C13" s="431"/>
      <c r="D13" s="426"/>
      <c r="E13" s="460"/>
      <c r="F13" s="460"/>
      <c r="G13" s="460"/>
      <c r="H13" s="460"/>
      <c r="I13" s="460"/>
      <c r="J13" s="461"/>
      <c r="K13" s="480"/>
      <c r="L13" s="463"/>
      <c r="M13" s="464"/>
      <c r="N13" s="478"/>
    </row>
    <row r="14" hidden="true" spans="2:14">
      <c r="B14" s="430"/>
      <c r="C14" s="431"/>
      <c r="D14" s="426"/>
      <c r="E14" s="460"/>
      <c r="F14" s="460"/>
      <c r="G14" s="460"/>
      <c r="H14" s="460"/>
      <c r="I14" s="460"/>
      <c r="J14" s="461"/>
      <c r="K14" s="480"/>
      <c r="L14" s="463"/>
      <c r="M14" s="464"/>
      <c r="N14" s="478"/>
    </row>
    <row r="15" ht="15.75" spans="2:14">
      <c r="B15" s="430" t="s">
        <v>34</v>
      </c>
      <c r="C15" s="432" t="s">
        <v>503</v>
      </c>
      <c r="D15" s="426"/>
      <c r="E15" s="460"/>
      <c r="F15" s="460"/>
      <c r="G15" s="460"/>
      <c r="H15" s="460"/>
      <c r="I15" s="460"/>
      <c r="J15" s="461">
        <f t="shared" ref="J15:J18" si="0">SUM(E15:I15)</f>
        <v>0</v>
      </c>
      <c r="K15" s="478"/>
      <c r="L15" s="478"/>
      <c r="M15" s="478"/>
      <c r="N15" s="478"/>
    </row>
    <row r="16" spans="2:14">
      <c r="B16" s="430">
        <v>1</v>
      </c>
      <c r="C16" s="433" t="s">
        <v>172</v>
      </c>
      <c r="D16" s="434"/>
      <c r="E16" s="460"/>
      <c r="F16" s="460"/>
      <c r="G16" s="460"/>
      <c r="H16" s="460"/>
      <c r="I16" s="460" t="e">
        <f>+总表!#REF!</f>
        <v>#REF!</v>
      </c>
      <c r="J16" s="460" t="e">
        <f t="shared" si="0"/>
        <v>#REF!</v>
      </c>
      <c r="K16" s="478"/>
      <c r="L16" s="478"/>
      <c r="M16" s="478"/>
      <c r="N16" s="478"/>
    </row>
    <row r="17" spans="2:14">
      <c r="B17" s="430">
        <v>2</v>
      </c>
      <c r="C17" s="435" t="s">
        <v>104</v>
      </c>
      <c r="D17" s="434"/>
      <c r="E17" s="460"/>
      <c r="F17" s="460"/>
      <c r="G17" s="460"/>
      <c r="H17" s="460"/>
      <c r="I17" s="460"/>
      <c r="J17" s="460">
        <f t="shared" si="0"/>
        <v>0</v>
      </c>
      <c r="K17" s="478"/>
      <c r="L17" s="478"/>
      <c r="M17" s="478"/>
      <c r="N17" s="478"/>
    </row>
    <row r="18" spans="2:14">
      <c r="B18" s="430">
        <v>3</v>
      </c>
      <c r="C18" s="433" t="s">
        <v>504</v>
      </c>
      <c r="D18" s="434"/>
      <c r="E18" s="460"/>
      <c r="F18" s="460"/>
      <c r="G18" s="460"/>
      <c r="H18" s="460"/>
      <c r="I18" s="460" t="e">
        <f>+总表!#REF!-总表!#REF!</f>
        <v>#REF!</v>
      </c>
      <c r="J18" s="460" t="e">
        <f t="shared" si="0"/>
        <v>#REF!</v>
      </c>
      <c r="K18" s="478"/>
      <c r="L18" s="478"/>
      <c r="M18" s="478"/>
      <c r="N18" s="478"/>
    </row>
    <row r="19" spans="2:14">
      <c r="B19" s="430"/>
      <c r="C19" s="433"/>
      <c r="D19" s="434"/>
      <c r="E19" s="460"/>
      <c r="F19" s="460"/>
      <c r="G19" s="460"/>
      <c r="H19" s="460"/>
      <c r="I19" s="460"/>
      <c r="J19" s="461"/>
      <c r="K19" s="478"/>
      <c r="L19" s="478"/>
      <c r="M19" s="478"/>
      <c r="N19" s="478"/>
    </row>
    <row r="20" spans="2:14">
      <c r="B20" s="430"/>
      <c r="C20" s="431" t="s">
        <v>505</v>
      </c>
      <c r="D20" s="434"/>
      <c r="E20" s="461">
        <f t="shared" ref="E20:H20" si="1">SUM(E16:E17)</f>
        <v>0</v>
      </c>
      <c r="F20" s="461">
        <f t="shared" si="1"/>
        <v>0</v>
      </c>
      <c r="G20" s="461">
        <f t="shared" si="1"/>
        <v>0</v>
      </c>
      <c r="H20" s="461">
        <f t="shared" si="1"/>
        <v>0</v>
      </c>
      <c r="I20" s="461" t="e">
        <f>SUM(I16:I19)</f>
        <v>#REF!</v>
      </c>
      <c r="J20" s="460" t="e">
        <f t="shared" ref="J20:J30" si="2">SUM(E20:I20)</f>
        <v>#REF!</v>
      </c>
      <c r="K20" s="479"/>
      <c r="L20" s="463"/>
      <c r="M20" s="464"/>
      <c r="N20" s="478"/>
    </row>
    <row r="21" spans="2:14">
      <c r="B21" s="430"/>
      <c r="C21" s="433"/>
      <c r="D21" s="434"/>
      <c r="E21" s="460"/>
      <c r="F21" s="460"/>
      <c r="G21" s="460"/>
      <c r="H21" s="460"/>
      <c r="I21" s="460"/>
      <c r="J21" s="461"/>
      <c r="K21" s="480"/>
      <c r="L21" s="463"/>
      <c r="M21" s="464"/>
      <c r="N21" s="478"/>
    </row>
    <row r="22" spans="2:14">
      <c r="B22" s="430"/>
      <c r="C22" s="431" t="s">
        <v>506</v>
      </c>
      <c r="D22" s="434"/>
      <c r="E22" s="460" t="e">
        <f t="shared" ref="E22:I22" si="3">E10+E20</f>
        <v>#REF!</v>
      </c>
      <c r="F22" s="460" t="e">
        <f t="shared" si="3"/>
        <v>#REF!</v>
      </c>
      <c r="G22" s="460" t="e">
        <f t="shared" si="3"/>
        <v>#REF!</v>
      </c>
      <c r="H22" s="460">
        <f t="shared" si="3"/>
        <v>0</v>
      </c>
      <c r="I22" s="460" t="e">
        <f t="shared" si="3"/>
        <v>#REF!</v>
      </c>
      <c r="J22" s="460" t="e">
        <f t="shared" si="2"/>
        <v>#REF!</v>
      </c>
      <c r="K22" s="479"/>
      <c r="L22" s="463"/>
      <c r="M22" s="464"/>
      <c r="N22" s="478"/>
    </row>
    <row r="23" hidden="true" spans="2:14">
      <c r="B23" s="430"/>
      <c r="C23" s="431"/>
      <c r="D23" s="434"/>
      <c r="E23" s="460"/>
      <c r="F23" s="460"/>
      <c r="G23" s="460"/>
      <c r="H23" s="460"/>
      <c r="I23" s="460"/>
      <c r="J23" s="461"/>
      <c r="K23" s="480"/>
      <c r="L23" s="463"/>
      <c r="M23" s="464"/>
      <c r="N23" s="478"/>
    </row>
    <row r="24" spans="2:14">
      <c r="B24" s="430"/>
      <c r="C24" s="433"/>
      <c r="D24" s="434"/>
      <c r="E24" s="460"/>
      <c r="F24" s="460"/>
      <c r="G24" s="460"/>
      <c r="H24" s="460"/>
      <c r="I24" s="460"/>
      <c r="J24" s="461">
        <f t="shared" si="2"/>
        <v>0</v>
      </c>
      <c r="K24" s="480"/>
      <c r="L24" s="463"/>
      <c r="M24" s="464"/>
      <c r="N24" s="478"/>
    </row>
    <row r="25" spans="2:14">
      <c r="B25" s="430" t="s">
        <v>36</v>
      </c>
      <c r="C25" s="433" t="s">
        <v>507</v>
      </c>
      <c r="D25" s="426"/>
      <c r="E25" s="462"/>
      <c r="F25" s="462"/>
      <c r="G25" s="462"/>
      <c r="H25" s="462"/>
      <c r="I25" s="462"/>
      <c r="J25" s="481">
        <f t="shared" si="2"/>
        <v>0</v>
      </c>
      <c r="K25" s="478"/>
      <c r="L25" s="478"/>
      <c r="M25" s="478"/>
      <c r="N25" s="478"/>
    </row>
    <row r="26" spans="2:16">
      <c r="B26" s="430">
        <v>1</v>
      </c>
      <c r="C26" s="433" t="s">
        <v>508</v>
      </c>
      <c r="D26" s="426"/>
      <c r="E26" s="462"/>
      <c r="F26" s="462"/>
      <c r="G26" s="462"/>
      <c r="H26" s="462"/>
      <c r="I26" s="464" t="e">
        <f>+总表!#REF!</f>
        <v>#REF!</v>
      </c>
      <c r="J26" s="482" t="e">
        <f t="shared" si="2"/>
        <v>#REF!</v>
      </c>
      <c r="K26" s="430"/>
      <c r="L26" s="478"/>
      <c r="M26" s="492"/>
      <c r="N26" s="478"/>
      <c r="P26" s="493"/>
    </row>
    <row r="27" ht="15.75" spans="2:21">
      <c r="B27" s="430"/>
      <c r="C27" s="433"/>
      <c r="D27" s="426"/>
      <c r="E27" s="463"/>
      <c r="F27" s="463"/>
      <c r="G27" s="463"/>
      <c r="H27" s="462"/>
      <c r="I27" s="464"/>
      <c r="J27" s="482">
        <f t="shared" si="2"/>
        <v>0</v>
      </c>
      <c r="K27" s="430"/>
      <c r="L27" s="478"/>
      <c r="M27" s="494"/>
      <c r="N27" s="478"/>
      <c r="P27" s="495" t="e">
        <f>I18/0.05</f>
        <v>#REF!</v>
      </c>
      <c r="R27" s="412" t="e">
        <f>P27*0.3*(1.03^1-1)</f>
        <v>#REF!</v>
      </c>
      <c r="S27" s="412" t="e">
        <f>P27*0.3*(1.03^2-1)</f>
        <v>#REF!</v>
      </c>
      <c r="T27" s="412" t="e">
        <f>P27*0.2*(1.03^3-1)</f>
        <v>#REF!</v>
      </c>
      <c r="U27" s="412" t="e">
        <f>SUM(Q27:T27)</f>
        <v>#REF!</v>
      </c>
    </row>
    <row r="28" spans="2:14">
      <c r="B28" s="430"/>
      <c r="C28" s="431" t="s">
        <v>509</v>
      </c>
      <c r="D28" s="426"/>
      <c r="E28" s="462">
        <f t="shared" ref="E28:I28" si="4">SUM(E26:E27)</f>
        <v>0</v>
      </c>
      <c r="F28" s="462">
        <f t="shared" si="4"/>
        <v>0</v>
      </c>
      <c r="G28" s="462">
        <f t="shared" si="4"/>
        <v>0</v>
      </c>
      <c r="H28" s="462">
        <f t="shared" si="4"/>
        <v>0</v>
      </c>
      <c r="I28" s="464" t="e">
        <f t="shared" si="4"/>
        <v>#REF!</v>
      </c>
      <c r="J28" s="482" t="e">
        <f t="shared" si="2"/>
        <v>#REF!</v>
      </c>
      <c r="K28" s="479"/>
      <c r="L28" s="463"/>
      <c r="M28" s="464"/>
      <c r="N28" s="478"/>
    </row>
    <row r="29" spans="2:14">
      <c r="B29" s="430"/>
      <c r="C29" s="433"/>
      <c r="D29" s="434"/>
      <c r="E29" s="462"/>
      <c r="F29" s="462"/>
      <c r="G29" s="463"/>
      <c r="H29" s="462"/>
      <c r="I29" s="462"/>
      <c r="J29" s="482">
        <f t="shared" si="2"/>
        <v>0</v>
      </c>
      <c r="K29" s="430"/>
      <c r="L29" s="463"/>
      <c r="M29" s="464"/>
      <c r="N29" s="478"/>
    </row>
    <row r="30" spans="2:14">
      <c r="B30" s="430"/>
      <c r="C30" s="431" t="s">
        <v>510</v>
      </c>
      <c r="D30" s="434"/>
      <c r="E30" s="464" t="e">
        <f t="shared" ref="E30:I30" si="5">E22+E28</f>
        <v>#REF!</v>
      </c>
      <c r="F30" s="464" t="e">
        <f t="shared" si="5"/>
        <v>#REF!</v>
      </c>
      <c r="G30" s="464" t="e">
        <f t="shared" si="5"/>
        <v>#REF!</v>
      </c>
      <c r="H30" s="464">
        <f t="shared" si="5"/>
        <v>0</v>
      </c>
      <c r="I30" s="464" t="e">
        <f t="shared" si="5"/>
        <v>#REF!</v>
      </c>
      <c r="J30" s="482" t="e">
        <f t="shared" si="2"/>
        <v>#REF!</v>
      </c>
      <c r="K30" s="479"/>
      <c r="L30" s="463"/>
      <c r="M30" s="464"/>
      <c r="N30" s="478"/>
    </row>
    <row r="31" spans="2:14">
      <c r="B31" s="430"/>
      <c r="C31" s="431"/>
      <c r="D31" s="434"/>
      <c r="E31" s="464"/>
      <c r="F31" s="464"/>
      <c r="G31" s="464"/>
      <c r="H31" s="464"/>
      <c r="I31" s="464"/>
      <c r="J31" s="482"/>
      <c r="K31" s="479"/>
      <c r="L31" s="463"/>
      <c r="M31" s="464"/>
      <c r="N31" s="478"/>
    </row>
    <row r="32" spans="2:14">
      <c r="B32" s="430"/>
      <c r="C32" s="435" t="s">
        <v>104</v>
      </c>
      <c r="D32" s="434"/>
      <c r="E32" s="462"/>
      <c r="F32" s="462"/>
      <c r="G32" s="462"/>
      <c r="H32" s="462"/>
      <c r="I32" s="462"/>
      <c r="J32" s="482">
        <f t="shared" ref="J32:J39" si="6">SUM(E32:I32)</f>
        <v>0</v>
      </c>
      <c r="K32" s="480"/>
      <c r="L32" s="463"/>
      <c r="M32" s="464"/>
      <c r="N32" s="478"/>
    </row>
    <row r="33" spans="2:15">
      <c r="B33" s="430"/>
      <c r="C33" s="433" t="s">
        <v>213</v>
      </c>
      <c r="D33" s="434"/>
      <c r="E33" s="462"/>
      <c r="F33" s="462"/>
      <c r="G33" s="462"/>
      <c r="H33" s="464"/>
      <c r="I33" s="464" t="e">
        <f>+利息!I11</f>
        <v>#REF!</v>
      </c>
      <c r="J33" s="482" t="e">
        <f t="shared" si="6"/>
        <v>#REF!</v>
      </c>
      <c r="K33" s="480"/>
      <c r="L33" s="463"/>
      <c r="M33" s="464"/>
      <c r="N33" s="478"/>
      <c r="O33" s="496">
        <f>利息!F6</f>
        <v>0.042</v>
      </c>
    </row>
    <row r="34" spans="2:14">
      <c r="B34" s="430"/>
      <c r="C34" s="433" t="s">
        <v>214</v>
      </c>
      <c r="D34" s="434"/>
      <c r="E34" s="462"/>
      <c r="F34" s="462"/>
      <c r="G34" s="462"/>
      <c r="H34" s="464"/>
      <c r="I34" s="464" t="e">
        <f>成本!D31</f>
        <v>#REF!</v>
      </c>
      <c r="J34" s="482" t="e">
        <f t="shared" si="6"/>
        <v>#REF!</v>
      </c>
      <c r="K34" s="480"/>
      <c r="L34" s="463"/>
      <c r="M34" s="464"/>
      <c r="N34" s="478"/>
    </row>
    <row r="35" hidden="true" spans="2:14">
      <c r="B35" s="430"/>
      <c r="C35" s="433"/>
      <c r="D35" s="434"/>
      <c r="E35" s="462"/>
      <c r="F35" s="462"/>
      <c r="G35" s="462"/>
      <c r="H35" s="464"/>
      <c r="I35" s="464"/>
      <c r="J35" s="482">
        <f t="shared" si="6"/>
        <v>0</v>
      </c>
      <c r="K35" s="480"/>
      <c r="L35" s="463"/>
      <c r="M35" s="464"/>
      <c r="N35" s="478"/>
    </row>
    <row r="36" hidden="true" spans="2:14">
      <c r="B36" s="430"/>
      <c r="C36" s="433"/>
      <c r="D36" s="434"/>
      <c r="E36" s="462"/>
      <c r="F36" s="462"/>
      <c r="G36" s="462"/>
      <c r="H36" s="464"/>
      <c r="I36" s="464"/>
      <c r="J36" s="482">
        <f t="shared" si="6"/>
        <v>0</v>
      </c>
      <c r="K36" s="480"/>
      <c r="L36" s="463"/>
      <c r="M36" s="464"/>
      <c r="N36" s="478"/>
    </row>
    <row r="37" hidden="true" spans="2:14">
      <c r="B37" s="430"/>
      <c r="C37" s="433"/>
      <c r="D37" s="434"/>
      <c r="E37" s="462"/>
      <c r="F37" s="462"/>
      <c r="G37" s="462"/>
      <c r="H37" s="464"/>
      <c r="I37" s="464"/>
      <c r="J37" s="482">
        <f t="shared" si="6"/>
        <v>0</v>
      </c>
      <c r="K37" s="480"/>
      <c r="L37" s="463"/>
      <c r="M37" s="464"/>
      <c r="N37" s="478"/>
    </row>
    <row r="38" hidden="true" spans="2:14">
      <c r="B38" s="430"/>
      <c r="C38" s="433"/>
      <c r="D38" s="434"/>
      <c r="E38" s="462"/>
      <c r="F38" s="462"/>
      <c r="G38" s="462"/>
      <c r="H38" s="462"/>
      <c r="I38" s="462"/>
      <c r="J38" s="482">
        <f t="shared" si="6"/>
        <v>0</v>
      </c>
      <c r="K38" s="480"/>
      <c r="L38" s="463"/>
      <c r="M38" s="464"/>
      <c r="N38" s="478"/>
    </row>
    <row r="39" spans="2:14">
      <c r="B39" s="430"/>
      <c r="C39" s="431" t="s">
        <v>511</v>
      </c>
      <c r="D39" s="434"/>
      <c r="E39" s="464" t="e">
        <f t="shared" ref="E39:I39" si="7">SUM(E30:E38)</f>
        <v>#REF!</v>
      </c>
      <c r="F39" s="464" t="e">
        <f t="shared" si="7"/>
        <v>#REF!</v>
      </c>
      <c r="G39" s="464" t="e">
        <f t="shared" si="7"/>
        <v>#REF!</v>
      </c>
      <c r="H39" s="464">
        <f t="shared" si="7"/>
        <v>0</v>
      </c>
      <c r="I39" s="464" t="e">
        <f t="shared" si="7"/>
        <v>#REF!</v>
      </c>
      <c r="J39" s="482" t="e">
        <f t="shared" si="6"/>
        <v>#REF!</v>
      </c>
      <c r="K39" s="479"/>
      <c r="L39" s="463"/>
      <c r="M39" s="464"/>
      <c r="N39" s="478"/>
    </row>
    <row r="40" hidden="true" spans="2:14">
      <c r="B40" s="430"/>
      <c r="C40" s="431"/>
      <c r="D40" s="434"/>
      <c r="E40" s="464"/>
      <c r="F40" s="464"/>
      <c r="G40" s="464"/>
      <c r="H40" s="464"/>
      <c r="I40" s="464"/>
      <c r="J40" s="482"/>
      <c r="K40" s="480"/>
      <c r="L40" s="463"/>
      <c r="M40" s="464"/>
      <c r="N40" s="478"/>
    </row>
    <row r="41" spans="2:13">
      <c r="B41" s="436"/>
      <c r="C41" s="437"/>
      <c r="D41" s="438"/>
      <c r="E41" s="465"/>
      <c r="F41" s="465"/>
      <c r="G41" s="465"/>
      <c r="H41" s="465"/>
      <c r="I41" s="465"/>
      <c r="J41" s="483"/>
      <c r="K41" s="484"/>
      <c r="L41" s="467"/>
      <c r="M41" s="465"/>
    </row>
    <row r="42" ht="18.75" spans="2:13">
      <c r="B42" s="436"/>
      <c r="C42" s="439" t="s">
        <v>512</v>
      </c>
      <c r="D42" s="440">
        <v>2</v>
      </c>
      <c r="E42" s="466" t="s">
        <v>513</v>
      </c>
      <c r="F42" s="467">
        <f>D42+D43</f>
        <v>27</v>
      </c>
      <c r="G42" s="465"/>
      <c r="H42" s="465"/>
      <c r="I42" s="465"/>
      <c r="J42" s="483"/>
      <c r="K42" s="484"/>
      <c r="L42" s="467"/>
      <c r="M42" s="465"/>
    </row>
    <row r="43" ht="18.75" spans="2:13">
      <c r="B43" s="436"/>
      <c r="C43" s="439" t="s">
        <v>514</v>
      </c>
      <c r="D43" s="440">
        <v>25</v>
      </c>
      <c r="E43" s="466" t="s">
        <v>513</v>
      </c>
      <c r="F43" s="465"/>
      <c r="G43" s="465"/>
      <c r="H43" s="465"/>
      <c r="I43" s="465"/>
      <c r="J43" s="483"/>
      <c r="K43" s="484"/>
      <c r="L43" s="467"/>
      <c r="M43" s="465"/>
    </row>
    <row r="44" hidden="true" spans="2:13">
      <c r="B44" s="436"/>
      <c r="C44" s="437"/>
      <c r="D44" s="441">
        <f>D43+D42</f>
        <v>27</v>
      </c>
      <c r="E44" s="465"/>
      <c r="F44" s="465"/>
      <c r="G44" s="465"/>
      <c r="H44" s="465"/>
      <c r="I44" s="465"/>
      <c r="J44" s="483"/>
      <c r="K44" s="484"/>
      <c r="L44" s="467"/>
      <c r="M44" s="465"/>
    </row>
    <row r="45" spans="2:13">
      <c r="B45" s="436"/>
      <c r="C45" s="442" t="s">
        <v>515</v>
      </c>
      <c r="D45" s="443">
        <v>0.05</v>
      </c>
      <c r="E45" s="464"/>
      <c r="F45" s="468" t="e">
        <f>敏感分析!E6</f>
        <v>#VALUE!</v>
      </c>
      <c r="G45" s="465"/>
      <c r="H45" s="465"/>
      <c r="I45" s="465"/>
      <c r="J45" s="483"/>
      <c r="K45" s="484"/>
      <c r="L45" s="467"/>
      <c r="M45" s="465"/>
    </row>
    <row r="46" ht="18.75" spans="2:13">
      <c r="B46" s="436"/>
      <c r="C46" s="444" t="s">
        <v>516</v>
      </c>
      <c r="D46" s="445"/>
      <c r="E46" s="469" t="s">
        <v>517</v>
      </c>
      <c r="F46" s="468"/>
      <c r="G46" s="465" t="str">
        <f>IF(D46&gt;0,"由于本工程是新建项目，故可享受该项优惠政策。","由于本工程不是新建项目，且已超出可享优惠的年限，故不可享受该项优惠政策。")</f>
        <v>由于本工程不是新建项目，且已超出可享优惠的年限，故不可享受该项优惠政策。</v>
      </c>
      <c r="H46" s="78"/>
      <c r="I46" s="465"/>
      <c r="J46" s="483"/>
      <c r="K46" s="484"/>
      <c r="L46" s="467"/>
      <c r="M46" s="465"/>
    </row>
    <row r="47" ht="18.75" spans="2:13">
      <c r="B47" s="436"/>
      <c r="C47" s="444" t="s">
        <v>518</v>
      </c>
      <c r="D47" s="445"/>
      <c r="E47" s="469" t="s">
        <v>517</v>
      </c>
      <c r="F47" s="468"/>
      <c r="G47" s="465" t="str">
        <f>"本项目为新建工程，按收费单价"&amp;D49&amp;"元/m³计算，"</f>
        <v>本项目为新建工程，按收费单价4.56元/m³计算，</v>
      </c>
      <c r="H47" s="465" t="str">
        <f>"本项目为扩建工程，按收费单价"&amp;D49&amp;"元/m³计算，"</f>
        <v>本项目为扩建工程，按收费单价4.56元/m³计算，</v>
      </c>
      <c r="I47" s="465"/>
      <c r="J47" s="483"/>
      <c r="K47" s="484"/>
      <c r="L47" s="467"/>
      <c r="M47" s="465"/>
    </row>
    <row r="48" ht="18.75" spans="2:13">
      <c r="B48" s="436"/>
      <c r="C48" s="444" t="s">
        <v>519</v>
      </c>
      <c r="D48" s="445">
        <v>6</v>
      </c>
      <c r="E48" s="469" t="s">
        <v>517</v>
      </c>
      <c r="F48" s="465">
        <f>ROUND(D47/F49,3)</f>
        <v>0</v>
      </c>
      <c r="G48" s="465" t="str">
        <f>"本项目为提标改造工程，销售（营业）收入为“提标改造”后增加的收入。按收费单价比提标改造前增加"&amp;D49&amp;"元/m³计算，"</f>
        <v>本项目为提标改造工程，销售（营业）收入为“提标改造”后增加的收入。按收费单价比提标改造前增加4.56元/m³计算，</v>
      </c>
      <c r="H48" s="78"/>
      <c r="I48" s="465"/>
      <c r="J48" s="483"/>
      <c r="K48" s="484"/>
      <c r="L48" s="467"/>
      <c r="M48" s="465"/>
    </row>
    <row r="49" ht="18.75" spans="2:13">
      <c r="B49" s="436"/>
      <c r="C49" s="442" t="s">
        <v>520</v>
      </c>
      <c r="D49" s="446">
        <v>4.56</v>
      </c>
      <c r="E49" s="466" t="s">
        <v>521</v>
      </c>
      <c r="F49" s="465">
        <f>D47+D48</f>
        <v>6</v>
      </c>
      <c r="G49" s="465" t="str">
        <f>"按改扩建后年收入增加"&amp;损益表!P6&amp;"万元测算。提标改造"&amp;D47&amp;"万m³/d与扩建"&amp;'总表 (2)'!D48&amp;"万m³/d合计"&amp;'总表 (2)'!F49&amp;"万m³/d规模的收费单价增加"&amp;'总表 (2)'!D49&amp;"元/m³。设改扩建前收费单价为P'，改扩建后收费单价为P，则P="&amp;D49&amp;"+P'*"&amp;F48&amp;"。按此标准进行经济评价分析，"</f>
        <v>按改扩建后年收入增加9849.6万元测算。提标改造万m³/d与扩建6万m³/d合计6万m³/d规模的收费单价增加4.56元/m³。设改扩建前收费单价为P'，改扩建后收费单价为P，则P=4.56+P'*0。按此标准进行经济评价分析，</v>
      </c>
      <c r="H49" s="465"/>
      <c r="I49" s="465"/>
      <c r="J49" s="483"/>
      <c r="K49" s="484"/>
      <c r="L49" s="467"/>
      <c r="M49" s="465"/>
    </row>
    <row r="50" hidden="true" spans="2:33">
      <c r="B50" s="436"/>
      <c r="C50" s="442" t="s">
        <v>522</v>
      </c>
      <c r="D50" s="442">
        <v>1</v>
      </c>
      <c r="E50" s="470">
        <v>2</v>
      </c>
      <c r="F50" s="470">
        <v>3</v>
      </c>
      <c r="G50" s="470">
        <v>4</v>
      </c>
      <c r="H50" s="470">
        <v>5</v>
      </c>
      <c r="I50" s="470">
        <v>6</v>
      </c>
      <c r="J50" s="485">
        <v>7</v>
      </c>
      <c r="K50" s="486">
        <v>8</v>
      </c>
      <c r="L50" s="470">
        <v>9</v>
      </c>
      <c r="M50" s="470">
        <v>10</v>
      </c>
      <c r="N50" s="470">
        <v>11</v>
      </c>
      <c r="O50" s="470">
        <v>12</v>
      </c>
      <c r="P50" s="470">
        <v>13</v>
      </c>
      <c r="Q50" s="470">
        <v>14</v>
      </c>
      <c r="R50" s="470">
        <v>15</v>
      </c>
      <c r="S50" s="470">
        <v>16</v>
      </c>
      <c r="T50" s="470">
        <v>17</v>
      </c>
      <c r="U50" s="470">
        <v>18</v>
      </c>
      <c r="V50" s="470">
        <v>19</v>
      </c>
      <c r="W50" s="470">
        <v>20</v>
      </c>
      <c r="X50" s="470">
        <v>21</v>
      </c>
      <c r="Y50" s="470">
        <v>22</v>
      </c>
      <c r="Z50" s="470">
        <v>23</v>
      </c>
      <c r="AA50" s="470">
        <v>24</v>
      </c>
      <c r="AB50" s="470">
        <v>25</v>
      </c>
      <c r="AC50" s="470">
        <v>26</v>
      </c>
      <c r="AD50" s="470">
        <v>27</v>
      </c>
      <c r="AE50" s="470">
        <v>28</v>
      </c>
      <c r="AF50" s="470">
        <v>29</v>
      </c>
      <c r="AG50" s="470">
        <v>30</v>
      </c>
    </row>
    <row r="51" hidden="true" spans="2:33">
      <c r="B51" s="436"/>
      <c r="C51" s="442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</row>
    <row r="52" hidden="true" spans="2:33">
      <c r="B52" s="436"/>
      <c r="C52" s="442" t="s">
        <v>523</v>
      </c>
      <c r="D52" s="442">
        <v>1</v>
      </c>
      <c r="E52" s="470">
        <v>2</v>
      </c>
      <c r="F52" s="470">
        <v>3</v>
      </c>
      <c r="G52" s="470">
        <v>4</v>
      </c>
      <c r="H52" s="470">
        <v>5</v>
      </c>
      <c r="I52" s="470">
        <v>6</v>
      </c>
      <c r="J52" s="485">
        <v>7</v>
      </c>
      <c r="K52" s="486">
        <v>8</v>
      </c>
      <c r="L52" s="470">
        <v>9</v>
      </c>
      <c r="M52" s="470">
        <v>10</v>
      </c>
      <c r="N52" s="470">
        <v>11</v>
      </c>
      <c r="O52" s="470">
        <v>12</v>
      </c>
      <c r="P52" s="470">
        <v>13</v>
      </c>
      <c r="Q52" s="470">
        <v>14</v>
      </c>
      <c r="R52" s="470">
        <v>15</v>
      </c>
      <c r="S52" s="470">
        <v>16</v>
      </c>
      <c r="T52" s="470">
        <v>17</v>
      </c>
      <c r="U52" s="470">
        <v>18</v>
      </c>
      <c r="V52" s="470">
        <v>19</v>
      </c>
      <c r="W52" s="470">
        <v>20</v>
      </c>
      <c r="X52" s="470">
        <v>21</v>
      </c>
      <c r="Y52" s="470">
        <v>22</v>
      </c>
      <c r="Z52" s="470">
        <v>23</v>
      </c>
      <c r="AA52" s="470">
        <v>24</v>
      </c>
      <c r="AB52" s="470">
        <v>25</v>
      </c>
      <c r="AC52" s="470">
        <v>26</v>
      </c>
      <c r="AD52" s="470">
        <v>27</v>
      </c>
      <c r="AE52" s="470">
        <v>28</v>
      </c>
      <c r="AF52" s="470">
        <v>29</v>
      </c>
      <c r="AG52" s="470">
        <v>30</v>
      </c>
    </row>
    <row r="53" hidden="true" spans="2:33">
      <c r="B53" s="436"/>
      <c r="C53" s="442"/>
      <c r="D53" s="448">
        <f>IF($D46&gt;0,0,25%)</f>
        <v>0.25</v>
      </c>
      <c r="E53" s="448">
        <f>IF($D46&gt;0,0,25%)</f>
        <v>0.25</v>
      </c>
      <c r="F53" s="448">
        <f>IF($D46&gt;0,0,25%)</f>
        <v>0.25</v>
      </c>
      <c r="G53" s="448">
        <f>IF($D46&gt;0,12.5%,25%)</f>
        <v>0.25</v>
      </c>
      <c r="H53" s="448">
        <f>IF($D46&gt;0,12.5%,25%)</f>
        <v>0.25</v>
      </c>
      <c r="I53" s="448">
        <f>IF($D46&gt;0,12.5%,25%)</f>
        <v>0.25</v>
      </c>
      <c r="J53" s="448">
        <v>0.25</v>
      </c>
      <c r="K53" s="448">
        <v>0.25</v>
      </c>
      <c r="L53" s="448">
        <v>0.25</v>
      </c>
      <c r="M53" s="448">
        <v>0.25</v>
      </c>
      <c r="N53" s="448">
        <v>0.25</v>
      </c>
      <c r="O53" s="448">
        <v>0.25</v>
      </c>
      <c r="P53" s="448">
        <v>0.25</v>
      </c>
      <c r="Q53" s="448">
        <v>0.25</v>
      </c>
      <c r="R53" s="448">
        <v>0.25</v>
      </c>
      <c r="S53" s="448">
        <v>0.25</v>
      </c>
      <c r="T53" s="448">
        <v>0.25</v>
      </c>
      <c r="U53" s="448">
        <v>0.25</v>
      </c>
      <c r="V53" s="448">
        <v>0.25</v>
      </c>
      <c r="W53" s="448">
        <v>0.25</v>
      </c>
      <c r="X53" s="448">
        <v>0.25</v>
      </c>
      <c r="Y53" s="448">
        <v>0.25</v>
      </c>
      <c r="Z53" s="448">
        <v>0.25</v>
      </c>
      <c r="AA53" s="448">
        <v>0.25</v>
      </c>
      <c r="AB53" s="448">
        <v>0.25</v>
      </c>
      <c r="AC53" s="448">
        <v>0.25</v>
      </c>
      <c r="AD53" s="448">
        <v>0.25</v>
      </c>
      <c r="AE53" s="448">
        <v>0.25</v>
      </c>
      <c r="AF53" s="448">
        <v>0.25</v>
      </c>
      <c r="AG53" s="448">
        <v>0.25</v>
      </c>
    </row>
    <row r="54" hidden="true" spans="2:10">
      <c r="B54" s="436"/>
      <c r="C54" s="449"/>
      <c r="D54" s="438"/>
      <c r="E54" s="471"/>
      <c r="F54" s="471"/>
      <c r="G54" s="471"/>
      <c r="H54" s="471"/>
      <c r="I54" s="471"/>
      <c r="J54" s="487">
        <f>SUM(E54:I54)</f>
        <v>0</v>
      </c>
    </row>
    <row r="55" hidden="true" spans="2:8">
      <c r="B55" s="413"/>
      <c r="C55" s="450"/>
      <c r="D55" s="451"/>
      <c r="E55" s="472"/>
      <c r="H55" s="472"/>
    </row>
    <row r="56" hidden="true" spans="3:4">
      <c r="C56" s="450"/>
      <c r="D56" s="451"/>
    </row>
    <row r="57" hidden="true" spans="3:4">
      <c r="C57" s="450"/>
      <c r="D57" s="451"/>
    </row>
    <row r="58" spans="3:13">
      <c r="C58" s="452"/>
      <c r="D58" s="451"/>
      <c r="G58" s="412" t="str">
        <f>IF(AND(D47&gt;0,D48&gt;0),G49,IF(D46&gt;0,G47,IF(D47&gt;0,G48,H47)))</f>
        <v>本项目为扩建工程，按收费单价4.56元/m³计算，</v>
      </c>
      <c r="J58" s="488"/>
      <c r="K58" s="489"/>
      <c r="M58" s="488"/>
    </row>
    <row r="59" spans="3:5">
      <c r="C59" s="453" t="s">
        <v>524</v>
      </c>
      <c r="D59" s="451"/>
      <c r="E59" s="473" t="e">
        <f>成本!D58</f>
        <v>#REF!</v>
      </c>
    </row>
    <row r="60" spans="3:7">
      <c r="C60" s="450"/>
      <c r="D60" s="451"/>
      <c r="E60" s="412">
        <f>损益表!I6</f>
        <v>9849.6</v>
      </c>
      <c r="F60" s="473" t="e">
        <f>成本!D57</f>
        <v>#REF!</v>
      </c>
      <c r="G60" s="473">
        <f>损益表!I8</f>
        <v>295.488</v>
      </c>
    </row>
    <row r="61" spans="3:6">
      <c r="C61" s="450"/>
      <c r="D61" s="451"/>
      <c r="E61" s="474" t="e">
        <f>E59/(E60-F60-G60)</f>
        <v>#REF!</v>
      </c>
      <c r="F61" s="474"/>
    </row>
    <row r="62" spans="3:6">
      <c r="C62" s="450"/>
      <c r="D62" s="454" t="s">
        <v>525</v>
      </c>
      <c r="E62" s="475" t="s">
        <v>526</v>
      </c>
      <c r="F62" s="474"/>
    </row>
    <row r="63" spans="3:6">
      <c r="C63" s="453" t="s">
        <v>527</v>
      </c>
      <c r="D63" s="455">
        <v>0.3</v>
      </c>
      <c r="E63" s="476">
        <f>1-D63</f>
        <v>0.7</v>
      </c>
      <c r="F63" s="474"/>
    </row>
    <row r="64" spans="3:4">
      <c r="C64" s="450"/>
      <c r="D64" s="451"/>
    </row>
    <row r="65" spans="3:12">
      <c r="C65" s="450"/>
      <c r="D65" s="451"/>
      <c r="F65" s="413"/>
      <c r="L65" s="497"/>
    </row>
    <row r="66" spans="3:12">
      <c r="C66" s="450"/>
      <c r="D66" s="451"/>
      <c r="F66" s="413"/>
      <c r="L66" s="497"/>
    </row>
    <row r="67" spans="3:12">
      <c r="C67" s="450"/>
      <c r="D67" s="451"/>
      <c r="F67" s="413"/>
      <c r="L67" s="497"/>
    </row>
    <row r="68" spans="3:4">
      <c r="C68" s="450"/>
      <c r="D68" s="451"/>
    </row>
  </sheetData>
  <mergeCells count="5">
    <mergeCell ref="E4:J4"/>
    <mergeCell ref="K4:M4"/>
    <mergeCell ref="C50:C51"/>
    <mergeCell ref="C52:C53"/>
    <mergeCell ref="C4:D5"/>
  </mergeCells>
  <pageMargins left="0.92" right="0" top="1.41732283464567" bottom="0.87" header="0.511811023622047" footer="0.84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O25"/>
  <sheetViews>
    <sheetView zoomScale="75" zoomScaleNormal="75" workbookViewId="0">
      <selection activeCell="G48" sqref="G48"/>
    </sheetView>
  </sheetViews>
  <sheetFormatPr defaultColWidth="10" defaultRowHeight="14.25"/>
  <cols>
    <col min="1" max="1" width="10" style="78"/>
    <col min="2" max="2" width="21.125" style="78" customWidth="true"/>
    <col min="3" max="5" width="12.125" style="78" customWidth="true"/>
    <col min="6" max="6" width="13.5" style="78" customWidth="true"/>
    <col min="7" max="7" width="11.5" style="78" customWidth="true"/>
    <col min="8" max="8" width="13.5" style="78" customWidth="true"/>
    <col min="9" max="9" width="11.625" style="78" customWidth="true"/>
    <col min="10" max="10" width="10" style="78"/>
    <col min="11" max="11" width="21" style="78" customWidth="true"/>
    <col min="12" max="12" width="10" style="78"/>
    <col min="13" max="14" width="12.125" style="78" customWidth="true"/>
    <col min="15" max="16384" width="10" style="78"/>
  </cols>
  <sheetData>
    <row r="4" ht="15.75" spans="2:7">
      <c r="B4" s="378" t="s">
        <v>528</v>
      </c>
      <c r="C4" s="378"/>
      <c r="D4" s="378"/>
      <c r="E4" s="378"/>
      <c r="F4" s="378"/>
      <c r="G4" s="378"/>
    </row>
    <row r="5" spans="2:10">
      <c r="B5" s="379" t="s">
        <v>529</v>
      </c>
      <c r="C5" s="380" t="e">
        <f>N20</f>
        <v>#REF!</v>
      </c>
      <c r="D5" s="381"/>
      <c r="E5" s="381"/>
      <c r="F5" s="381"/>
      <c r="G5" s="381"/>
      <c r="H5" s="382"/>
      <c r="I5" s="400" t="s">
        <v>530</v>
      </c>
      <c r="J5" s="400" t="s">
        <v>531</v>
      </c>
    </row>
    <row r="6" ht="15.75" spans="2:10">
      <c r="B6" s="379" t="s">
        <v>532</v>
      </c>
      <c r="C6" s="380" t="e">
        <f>O17</f>
        <v>#REF!</v>
      </c>
      <c r="D6" s="382"/>
      <c r="E6" s="392" t="s">
        <v>533</v>
      </c>
      <c r="F6" s="393">
        <v>0.042</v>
      </c>
      <c r="G6" s="394"/>
      <c r="H6" s="395"/>
      <c r="I6" s="401"/>
      <c r="J6" s="401"/>
    </row>
    <row r="7" ht="15.75" spans="2:10">
      <c r="B7" s="379" t="s">
        <v>534</v>
      </c>
      <c r="C7" s="383">
        <v>0</v>
      </c>
      <c r="D7" s="384"/>
      <c r="E7" s="392" t="s">
        <v>535</v>
      </c>
      <c r="F7" s="396">
        <v>0.042</v>
      </c>
      <c r="G7" s="397"/>
      <c r="H7" s="398"/>
      <c r="I7" s="401"/>
      <c r="J7" s="401"/>
    </row>
    <row r="8" spans="2:10">
      <c r="B8" s="379" t="s">
        <v>536</v>
      </c>
      <c r="C8" s="385">
        <f t="shared" ref="C8:G8" si="0">D8-1</f>
        <v>-3</v>
      </c>
      <c r="D8" s="385">
        <f t="shared" si="0"/>
        <v>-2</v>
      </c>
      <c r="E8" s="385">
        <f t="shared" si="0"/>
        <v>-1</v>
      </c>
      <c r="F8" s="385">
        <f t="shared" si="0"/>
        <v>0</v>
      </c>
      <c r="G8" s="385">
        <f t="shared" si="0"/>
        <v>1</v>
      </c>
      <c r="H8" s="385">
        <f>'总表 (2)'!D42</f>
        <v>2</v>
      </c>
      <c r="I8" s="401"/>
      <c r="J8" s="401"/>
    </row>
    <row r="9" spans="2:10">
      <c r="B9" s="379" t="s">
        <v>537</v>
      </c>
      <c r="C9" s="379"/>
      <c r="D9" s="379"/>
      <c r="E9" s="379">
        <v>0</v>
      </c>
      <c r="F9" s="379">
        <v>0</v>
      </c>
      <c r="G9" s="379">
        <v>0.5</v>
      </c>
      <c r="H9" s="399">
        <v>0.5</v>
      </c>
      <c r="I9" s="401"/>
      <c r="J9" s="401"/>
    </row>
    <row r="10" spans="2:12">
      <c r="B10" s="379" t="s">
        <v>538</v>
      </c>
      <c r="C10" s="379">
        <v>0</v>
      </c>
      <c r="D10" s="379">
        <v>0</v>
      </c>
      <c r="E10" s="379">
        <v>0</v>
      </c>
      <c r="F10" s="379">
        <v>0</v>
      </c>
      <c r="G10" s="379">
        <v>0</v>
      </c>
      <c r="H10" s="379">
        <v>0</v>
      </c>
      <c r="I10" s="402"/>
      <c r="J10" s="401"/>
      <c r="L10" s="403"/>
    </row>
    <row r="11" spans="2:10">
      <c r="B11" s="379" t="s">
        <v>539</v>
      </c>
      <c r="C11" s="379" t="e">
        <f>C13*0.5*$F$6</f>
        <v>#REF!</v>
      </c>
      <c r="D11" s="379" t="e">
        <f>(D13*0.5+C13)*$F$6</f>
        <v>#REF!</v>
      </c>
      <c r="E11" s="379" t="e">
        <f>(E13*0.5+C13+D13)*$F$6</f>
        <v>#REF!</v>
      </c>
      <c r="F11" s="399" t="e">
        <f>(F13*0.5+C13+D13+E13)*$F$6</f>
        <v>#REF!</v>
      </c>
      <c r="G11" s="399" t="e">
        <f>(G13*0.5+D13+E13+F13)*$F$6</f>
        <v>#REF!</v>
      </c>
      <c r="H11" s="399" t="e">
        <f>(H13*0.5+E13+F13+G13)*$F$6</f>
        <v>#REF!</v>
      </c>
      <c r="I11" s="404" t="e">
        <f t="shared" ref="I11:I14" si="1">SUM(C11:H11)</f>
        <v>#REF!</v>
      </c>
      <c r="J11" s="401"/>
    </row>
    <row r="12" spans="2:10">
      <c r="B12" s="379" t="s">
        <v>540</v>
      </c>
      <c r="C12" s="379"/>
      <c r="D12" s="379"/>
      <c r="E12" s="379"/>
      <c r="F12" s="379"/>
      <c r="G12" s="386"/>
      <c r="H12" s="379"/>
      <c r="I12" s="404">
        <f t="shared" si="1"/>
        <v>0</v>
      </c>
      <c r="J12" s="402"/>
    </row>
    <row r="13" spans="2:10">
      <c r="B13" s="379" t="s">
        <v>541</v>
      </c>
      <c r="C13" s="386" t="e">
        <f t="shared" ref="C13:H13" si="2">$M$17*C9</f>
        <v>#REF!</v>
      </c>
      <c r="D13" s="386" t="e">
        <f t="shared" si="2"/>
        <v>#REF!</v>
      </c>
      <c r="E13" s="386" t="e">
        <f t="shared" si="2"/>
        <v>#REF!</v>
      </c>
      <c r="F13" s="386" t="e">
        <f t="shared" si="2"/>
        <v>#REF!</v>
      </c>
      <c r="G13" s="386" t="e">
        <f t="shared" si="2"/>
        <v>#REF!</v>
      </c>
      <c r="H13" s="386" t="e">
        <f t="shared" si="2"/>
        <v>#REF!</v>
      </c>
      <c r="I13" s="404" t="e">
        <f t="shared" si="1"/>
        <v>#REF!</v>
      </c>
      <c r="J13" s="402"/>
    </row>
    <row r="14" spans="2:10">
      <c r="B14" s="379" t="s">
        <v>542</v>
      </c>
      <c r="C14" s="387"/>
      <c r="D14" s="387"/>
      <c r="E14" s="387"/>
      <c r="F14" s="387"/>
      <c r="G14" s="379" t="e">
        <f>$C$5*$C$7*G10</f>
        <v>#REF!</v>
      </c>
      <c r="H14" s="379" t="e">
        <f>$C$5*$C$7*H10</f>
        <v>#REF!</v>
      </c>
      <c r="I14" s="405" t="e">
        <f t="shared" si="1"/>
        <v>#REF!</v>
      </c>
      <c r="J14" s="406" t="e">
        <f>(I14+I13)/C5</f>
        <v>#REF!</v>
      </c>
    </row>
    <row r="15" spans="2:10">
      <c r="B15" s="383" t="s">
        <v>305</v>
      </c>
      <c r="C15" s="388"/>
      <c r="D15" s="388"/>
      <c r="E15" s="388"/>
      <c r="F15" s="388"/>
      <c r="G15" s="388"/>
      <c r="H15" s="384"/>
      <c r="I15" s="405" t="e">
        <f>SUM(I11:I12)</f>
        <v>#REF!</v>
      </c>
      <c r="J15" s="379"/>
    </row>
    <row r="16" spans="9:9">
      <c r="I16" s="407"/>
    </row>
    <row r="17" ht="15.75" spans="2:15">
      <c r="B17" s="78" t="s">
        <v>543</v>
      </c>
      <c r="E17" s="78" t="e">
        <f t="shared" ref="E17:H17" si="3">E13</f>
        <v>#REF!</v>
      </c>
      <c r="F17" s="78" t="e">
        <f t="shared" si="3"/>
        <v>#REF!</v>
      </c>
      <c r="G17" s="78" t="e">
        <f t="shared" si="3"/>
        <v>#REF!</v>
      </c>
      <c r="H17" s="389" t="e">
        <f t="shared" si="3"/>
        <v>#REF!</v>
      </c>
      <c r="J17" s="389" t="e">
        <f t="shared" ref="J17:J20" si="4">SUM(F17:I17)</f>
        <v>#REF!</v>
      </c>
      <c r="K17" s="408" t="s">
        <v>532</v>
      </c>
      <c r="L17" s="409">
        <v>0</v>
      </c>
      <c r="M17" s="389" t="e">
        <f>L17*M20</f>
        <v>#REF!</v>
      </c>
      <c r="N17" s="407" t="e">
        <f>M17-I11</f>
        <v>#REF!</v>
      </c>
      <c r="O17" s="389" t="e">
        <f>M17/N20</f>
        <v>#REF!</v>
      </c>
    </row>
    <row r="18" ht="15.75" spans="2:12">
      <c r="B18" s="389" t="s">
        <v>544</v>
      </c>
      <c r="E18" s="78">
        <f t="shared" ref="E18:H18" si="5">E14+E12</f>
        <v>0</v>
      </c>
      <c r="F18" s="78">
        <f t="shared" si="5"/>
        <v>0</v>
      </c>
      <c r="G18" s="78" t="e">
        <f t="shared" si="5"/>
        <v>#REF!</v>
      </c>
      <c r="H18" s="78" t="e">
        <f t="shared" si="5"/>
        <v>#REF!</v>
      </c>
      <c r="J18" s="78" t="e">
        <f t="shared" si="4"/>
        <v>#REF!</v>
      </c>
      <c r="K18" s="408" t="s">
        <v>534</v>
      </c>
      <c r="L18" s="409">
        <v>0</v>
      </c>
    </row>
    <row r="19" spans="5:14">
      <c r="E19" s="389" t="e">
        <f t="shared" ref="E19:H19" si="6">E20-E17-E18</f>
        <v>#REF!</v>
      </c>
      <c r="F19" s="389" t="e">
        <f t="shared" si="6"/>
        <v>#REF!</v>
      </c>
      <c r="G19" s="389" t="e">
        <f t="shared" si="6"/>
        <v>#REF!</v>
      </c>
      <c r="H19" s="389" t="e">
        <f t="shared" si="6"/>
        <v>#REF!</v>
      </c>
      <c r="I19" s="389" t="e">
        <f>'总表 (2)'!J34</f>
        <v>#REF!</v>
      </c>
      <c r="J19" s="389" t="e">
        <f t="shared" si="4"/>
        <v>#REF!</v>
      </c>
      <c r="K19" s="410" t="s">
        <v>545</v>
      </c>
      <c r="L19" s="409">
        <v>1</v>
      </c>
      <c r="M19" s="389" t="e">
        <f>L19*M20</f>
        <v>#REF!</v>
      </c>
      <c r="N19" s="389" t="e">
        <f>'总表 (2)'!I34</f>
        <v>#REF!</v>
      </c>
    </row>
    <row r="20" spans="5:14">
      <c r="E20" s="389" t="e">
        <f t="shared" ref="E20:H20" si="7">$N$20*E9</f>
        <v>#REF!</v>
      </c>
      <c r="F20" s="389" t="e">
        <f t="shared" si="7"/>
        <v>#REF!</v>
      </c>
      <c r="G20" s="389" t="e">
        <f t="shared" si="7"/>
        <v>#REF!</v>
      </c>
      <c r="H20" s="389" t="e">
        <f t="shared" si="7"/>
        <v>#REF!</v>
      </c>
      <c r="I20" s="78" t="e">
        <f>SUM(I17:I19)</f>
        <v>#REF!</v>
      </c>
      <c r="J20" s="78" t="e">
        <f t="shared" si="4"/>
        <v>#REF!</v>
      </c>
      <c r="K20" s="78" t="s">
        <v>546</v>
      </c>
      <c r="M20" s="407" t="e">
        <f>'总表 (2)'!J39</f>
        <v>#REF!</v>
      </c>
      <c r="N20" s="403" t="e">
        <f>M20-N19</f>
        <v>#REF!</v>
      </c>
    </row>
    <row r="22" spans="3:10">
      <c r="C22" s="379" t="e">
        <f>'总表 (2)'!J39*0.12</f>
        <v>#REF!</v>
      </c>
      <c r="D22" s="379" t="e">
        <f>'总表 (2)'!J39*0.33</f>
        <v>#REF!</v>
      </c>
      <c r="E22" s="379" t="e">
        <f>D22</f>
        <v>#REF!</v>
      </c>
      <c r="F22" s="379" t="e">
        <f>'总表 (2)'!J39*0.22</f>
        <v>#REF!</v>
      </c>
      <c r="J22" s="403"/>
    </row>
    <row r="23" spans="3:6">
      <c r="C23" s="390" t="e">
        <f t="shared" ref="C23:F23" si="8">C22-C14</f>
        <v>#REF!</v>
      </c>
      <c r="D23" s="390" t="e">
        <f t="shared" si="8"/>
        <v>#REF!</v>
      </c>
      <c r="E23" s="390" t="e">
        <f t="shared" si="8"/>
        <v>#REF!</v>
      </c>
      <c r="F23" s="390" t="e">
        <f t="shared" si="8"/>
        <v>#REF!</v>
      </c>
    </row>
    <row r="25" spans="3:6">
      <c r="C25" s="391">
        <f>C14/2*0.0075+(D14+E14+F14)*0.0075</f>
        <v>0</v>
      </c>
      <c r="D25" s="391">
        <f>D14/2*0.0075+(E14+F14)*0.0075</f>
        <v>0</v>
      </c>
      <c r="E25" s="391">
        <f>E14/2*0.0075+F14*0.0075</f>
        <v>0</v>
      </c>
      <c r="F25" s="391">
        <f>F14/2*0.0075</f>
        <v>0</v>
      </c>
    </row>
  </sheetData>
  <mergeCells count="9">
    <mergeCell ref="B4:G4"/>
    <mergeCell ref="C5:H5"/>
    <mergeCell ref="C6:D6"/>
    <mergeCell ref="F6:H6"/>
    <mergeCell ref="C7:D7"/>
    <mergeCell ref="F7:H7"/>
    <mergeCell ref="B15:H15"/>
    <mergeCell ref="I5:I10"/>
    <mergeCell ref="J5:J12"/>
  </mergeCells>
  <printOptions gridLines="true"/>
  <pageMargins left="0.75" right="0.75" top="1" bottom="1" header="0.5" footer="0.5"/>
  <headerFooter alignWithMargins="0">
    <oddHeader>&amp;C&amp;A</oddHeader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D39" sqref="D39"/>
    </sheetView>
  </sheetViews>
  <sheetFormatPr defaultColWidth="10" defaultRowHeight="14.25"/>
  <cols>
    <col min="1" max="1" width="40.125" style="377" customWidth="true"/>
    <col min="2" max="5" width="10" style="377"/>
    <col min="6" max="6" width="40.125" style="377" customWidth="true"/>
    <col min="7" max="256" width="10" style="377"/>
    <col min="257" max="257" width="29" style="377" customWidth="true"/>
    <col min="258" max="261" width="10" style="377"/>
    <col min="262" max="262" width="30.25" style="377" customWidth="true"/>
    <col min="263" max="512" width="10" style="377"/>
    <col min="513" max="513" width="29" style="377" customWidth="true"/>
    <col min="514" max="517" width="10" style="377"/>
    <col min="518" max="518" width="30.25" style="377" customWidth="true"/>
    <col min="519" max="768" width="10" style="377"/>
    <col min="769" max="769" width="29" style="377" customWidth="true"/>
    <col min="770" max="773" width="10" style="377"/>
    <col min="774" max="774" width="30.25" style="377" customWidth="true"/>
    <col min="775" max="1024" width="10" style="377"/>
    <col min="1025" max="1025" width="29" style="377" customWidth="true"/>
    <col min="1026" max="1029" width="10" style="377"/>
    <col min="1030" max="1030" width="30.25" style="377" customWidth="true"/>
    <col min="1031" max="1280" width="10" style="377"/>
    <col min="1281" max="1281" width="29" style="377" customWidth="true"/>
    <col min="1282" max="1285" width="10" style="377"/>
    <col min="1286" max="1286" width="30.25" style="377" customWidth="true"/>
    <col min="1287" max="1536" width="10" style="377"/>
    <col min="1537" max="1537" width="29" style="377" customWidth="true"/>
    <col min="1538" max="1541" width="10" style="377"/>
    <col min="1542" max="1542" width="30.25" style="377" customWidth="true"/>
    <col min="1543" max="1792" width="10" style="377"/>
    <col min="1793" max="1793" width="29" style="377" customWidth="true"/>
    <col min="1794" max="1797" width="10" style="377"/>
    <col min="1798" max="1798" width="30.25" style="377" customWidth="true"/>
    <col min="1799" max="2048" width="10" style="377"/>
    <col min="2049" max="2049" width="29" style="377" customWidth="true"/>
    <col min="2050" max="2053" width="10" style="377"/>
    <col min="2054" max="2054" width="30.25" style="377" customWidth="true"/>
    <col min="2055" max="2304" width="10" style="377"/>
    <col min="2305" max="2305" width="29" style="377" customWidth="true"/>
    <col min="2306" max="2309" width="10" style="377"/>
    <col min="2310" max="2310" width="30.25" style="377" customWidth="true"/>
    <col min="2311" max="2560" width="10" style="377"/>
    <col min="2561" max="2561" width="29" style="377" customWidth="true"/>
    <col min="2562" max="2565" width="10" style="377"/>
    <col min="2566" max="2566" width="30.25" style="377" customWidth="true"/>
    <col min="2567" max="2816" width="10" style="377"/>
    <col min="2817" max="2817" width="29" style="377" customWidth="true"/>
    <col min="2818" max="2821" width="10" style="377"/>
    <col min="2822" max="2822" width="30.25" style="377" customWidth="true"/>
    <col min="2823" max="3072" width="10" style="377"/>
    <col min="3073" max="3073" width="29" style="377" customWidth="true"/>
    <col min="3074" max="3077" width="10" style="377"/>
    <col min="3078" max="3078" width="30.25" style="377" customWidth="true"/>
    <col min="3079" max="3328" width="10" style="377"/>
    <col min="3329" max="3329" width="29" style="377" customWidth="true"/>
    <col min="3330" max="3333" width="10" style="377"/>
    <col min="3334" max="3334" width="30.25" style="377" customWidth="true"/>
    <col min="3335" max="3584" width="10" style="377"/>
    <col min="3585" max="3585" width="29" style="377" customWidth="true"/>
    <col min="3586" max="3589" width="10" style="377"/>
    <col min="3590" max="3590" width="30.25" style="377" customWidth="true"/>
    <col min="3591" max="3840" width="10" style="377"/>
    <col min="3841" max="3841" width="29" style="377" customWidth="true"/>
    <col min="3842" max="3845" width="10" style="377"/>
    <col min="3846" max="3846" width="30.25" style="377" customWidth="true"/>
    <col min="3847" max="4096" width="10" style="377"/>
    <col min="4097" max="4097" width="29" style="377" customWidth="true"/>
    <col min="4098" max="4101" width="10" style="377"/>
    <col min="4102" max="4102" width="30.25" style="377" customWidth="true"/>
    <col min="4103" max="4352" width="10" style="377"/>
    <col min="4353" max="4353" width="29" style="377" customWidth="true"/>
    <col min="4354" max="4357" width="10" style="377"/>
    <col min="4358" max="4358" width="30.25" style="377" customWidth="true"/>
    <col min="4359" max="4608" width="10" style="377"/>
    <col min="4609" max="4609" width="29" style="377" customWidth="true"/>
    <col min="4610" max="4613" width="10" style="377"/>
    <col min="4614" max="4614" width="30.25" style="377" customWidth="true"/>
    <col min="4615" max="4864" width="10" style="377"/>
    <col min="4865" max="4865" width="29" style="377" customWidth="true"/>
    <col min="4866" max="4869" width="10" style="377"/>
    <col min="4870" max="4870" width="30.25" style="377" customWidth="true"/>
    <col min="4871" max="5120" width="10" style="377"/>
    <col min="5121" max="5121" width="29" style="377" customWidth="true"/>
    <col min="5122" max="5125" width="10" style="377"/>
    <col min="5126" max="5126" width="30.25" style="377" customWidth="true"/>
    <col min="5127" max="5376" width="10" style="377"/>
    <col min="5377" max="5377" width="29" style="377" customWidth="true"/>
    <col min="5378" max="5381" width="10" style="377"/>
    <col min="5382" max="5382" width="30.25" style="377" customWidth="true"/>
    <col min="5383" max="5632" width="10" style="377"/>
    <col min="5633" max="5633" width="29" style="377" customWidth="true"/>
    <col min="5634" max="5637" width="10" style="377"/>
    <col min="5638" max="5638" width="30.25" style="377" customWidth="true"/>
    <col min="5639" max="5888" width="10" style="377"/>
    <col min="5889" max="5889" width="29" style="377" customWidth="true"/>
    <col min="5890" max="5893" width="10" style="377"/>
    <col min="5894" max="5894" width="30.25" style="377" customWidth="true"/>
    <col min="5895" max="6144" width="10" style="377"/>
    <col min="6145" max="6145" width="29" style="377" customWidth="true"/>
    <col min="6146" max="6149" width="10" style="377"/>
    <col min="6150" max="6150" width="30.25" style="377" customWidth="true"/>
    <col min="6151" max="6400" width="10" style="377"/>
    <col min="6401" max="6401" width="29" style="377" customWidth="true"/>
    <col min="6402" max="6405" width="10" style="377"/>
    <col min="6406" max="6406" width="30.25" style="377" customWidth="true"/>
    <col min="6407" max="6656" width="10" style="377"/>
    <col min="6657" max="6657" width="29" style="377" customWidth="true"/>
    <col min="6658" max="6661" width="10" style="377"/>
    <col min="6662" max="6662" width="30.25" style="377" customWidth="true"/>
    <col min="6663" max="6912" width="10" style="377"/>
    <col min="6913" max="6913" width="29" style="377" customWidth="true"/>
    <col min="6914" max="6917" width="10" style="377"/>
    <col min="6918" max="6918" width="30.25" style="377" customWidth="true"/>
    <col min="6919" max="7168" width="10" style="377"/>
    <col min="7169" max="7169" width="29" style="377" customWidth="true"/>
    <col min="7170" max="7173" width="10" style="377"/>
    <col min="7174" max="7174" width="30.25" style="377" customWidth="true"/>
    <col min="7175" max="7424" width="10" style="377"/>
    <col min="7425" max="7425" width="29" style="377" customWidth="true"/>
    <col min="7426" max="7429" width="10" style="377"/>
    <col min="7430" max="7430" width="30.25" style="377" customWidth="true"/>
    <col min="7431" max="7680" width="10" style="377"/>
    <col min="7681" max="7681" width="29" style="377" customWidth="true"/>
    <col min="7682" max="7685" width="10" style="377"/>
    <col min="7686" max="7686" width="30.25" style="377" customWidth="true"/>
    <col min="7687" max="7936" width="10" style="377"/>
    <col min="7937" max="7937" width="29" style="377" customWidth="true"/>
    <col min="7938" max="7941" width="10" style="377"/>
    <col min="7942" max="7942" width="30.25" style="377" customWidth="true"/>
    <col min="7943" max="8192" width="10" style="377"/>
    <col min="8193" max="8193" width="29" style="377" customWidth="true"/>
    <col min="8194" max="8197" width="10" style="377"/>
    <col min="8198" max="8198" width="30.25" style="377" customWidth="true"/>
    <col min="8199" max="8448" width="10" style="377"/>
    <col min="8449" max="8449" width="29" style="377" customWidth="true"/>
    <col min="8450" max="8453" width="10" style="377"/>
    <col min="8454" max="8454" width="30.25" style="377" customWidth="true"/>
    <col min="8455" max="8704" width="10" style="377"/>
    <col min="8705" max="8705" width="29" style="377" customWidth="true"/>
    <col min="8706" max="8709" width="10" style="377"/>
    <col min="8710" max="8710" width="30.25" style="377" customWidth="true"/>
    <col min="8711" max="8960" width="10" style="377"/>
    <col min="8961" max="8961" width="29" style="377" customWidth="true"/>
    <col min="8962" max="8965" width="10" style="377"/>
    <col min="8966" max="8966" width="30.25" style="377" customWidth="true"/>
    <col min="8967" max="9216" width="10" style="377"/>
    <col min="9217" max="9217" width="29" style="377" customWidth="true"/>
    <col min="9218" max="9221" width="10" style="377"/>
    <col min="9222" max="9222" width="30.25" style="377" customWidth="true"/>
    <col min="9223" max="9472" width="10" style="377"/>
    <col min="9473" max="9473" width="29" style="377" customWidth="true"/>
    <col min="9474" max="9477" width="10" style="377"/>
    <col min="9478" max="9478" width="30.25" style="377" customWidth="true"/>
    <col min="9479" max="9728" width="10" style="377"/>
    <col min="9729" max="9729" width="29" style="377" customWidth="true"/>
    <col min="9730" max="9733" width="10" style="377"/>
    <col min="9734" max="9734" width="30.25" style="377" customWidth="true"/>
    <col min="9735" max="9984" width="10" style="377"/>
    <col min="9985" max="9985" width="29" style="377" customWidth="true"/>
    <col min="9986" max="9989" width="10" style="377"/>
    <col min="9990" max="9990" width="30.25" style="377" customWidth="true"/>
    <col min="9991" max="10240" width="10" style="377"/>
    <col min="10241" max="10241" width="29" style="377" customWidth="true"/>
    <col min="10242" max="10245" width="10" style="377"/>
    <col min="10246" max="10246" width="30.25" style="377" customWidth="true"/>
    <col min="10247" max="10496" width="10" style="377"/>
    <col min="10497" max="10497" width="29" style="377" customWidth="true"/>
    <col min="10498" max="10501" width="10" style="377"/>
    <col min="10502" max="10502" width="30.25" style="377" customWidth="true"/>
    <col min="10503" max="10752" width="10" style="377"/>
    <col min="10753" max="10753" width="29" style="377" customWidth="true"/>
    <col min="10754" max="10757" width="10" style="377"/>
    <col min="10758" max="10758" width="30.25" style="377" customWidth="true"/>
    <col min="10759" max="11008" width="10" style="377"/>
    <col min="11009" max="11009" width="29" style="377" customWidth="true"/>
    <col min="11010" max="11013" width="10" style="377"/>
    <col min="11014" max="11014" width="30.25" style="377" customWidth="true"/>
    <col min="11015" max="11264" width="10" style="377"/>
    <col min="11265" max="11265" width="29" style="377" customWidth="true"/>
    <col min="11266" max="11269" width="10" style="377"/>
    <col min="11270" max="11270" width="30.25" style="377" customWidth="true"/>
    <col min="11271" max="11520" width="10" style="377"/>
    <col min="11521" max="11521" width="29" style="377" customWidth="true"/>
    <col min="11522" max="11525" width="10" style="377"/>
    <col min="11526" max="11526" width="30.25" style="377" customWidth="true"/>
    <col min="11527" max="11776" width="10" style="377"/>
    <col min="11777" max="11777" width="29" style="377" customWidth="true"/>
    <col min="11778" max="11781" width="10" style="377"/>
    <col min="11782" max="11782" width="30.25" style="377" customWidth="true"/>
    <col min="11783" max="12032" width="10" style="377"/>
    <col min="12033" max="12033" width="29" style="377" customWidth="true"/>
    <col min="12034" max="12037" width="10" style="377"/>
    <col min="12038" max="12038" width="30.25" style="377" customWidth="true"/>
    <col min="12039" max="12288" width="10" style="377"/>
    <col min="12289" max="12289" width="29" style="377" customWidth="true"/>
    <col min="12290" max="12293" width="10" style="377"/>
    <col min="12294" max="12294" width="30.25" style="377" customWidth="true"/>
    <col min="12295" max="12544" width="10" style="377"/>
    <col min="12545" max="12545" width="29" style="377" customWidth="true"/>
    <col min="12546" max="12549" width="10" style="377"/>
    <col min="12550" max="12550" width="30.25" style="377" customWidth="true"/>
    <col min="12551" max="12800" width="10" style="377"/>
    <col min="12801" max="12801" width="29" style="377" customWidth="true"/>
    <col min="12802" max="12805" width="10" style="377"/>
    <col min="12806" max="12806" width="30.25" style="377" customWidth="true"/>
    <col min="12807" max="13056" width="10" style="377"/>
    <col min="13057" max="13057" width="29" style="377" customWidth="true"/>
    <col min="13058" max="13061" width="10" style="377"/>
    <col min="13062" max="13062" width="30.25" style="377" customWidth="true"/>
    <col min="13063" max="13312" width="10" style="377"/>
    <col min="13313" max="13313" width="29" style="377" customWidth="true"/>
    <col min="13314" max="13317" width="10" style="377"/>
    <col min="13318" max="13318" width="30.25" style="377" customWidth="true"/>
    <col min="13319" max="13568" width="10" style="377"/>
    <col min="13569" max="13569" width="29" style="377" customWidth="true"/>
    <col min="13570" max="13573" width="10" style="377"/>
    <col min="13574" max="13574" width="30.25" style="377" customWidth="true"/>
    <col min="13575" max="13824" width="10" style="377"/>
    <col min="13825" max="13825" width="29" style="377" customWidth="true"/>
    <col min="13826" max="13829" width="10" style="377"/>
    <col min="13830" max="13830" width="30.25" style="377" customWidth="true"/>
    <col min="13831" max="14080" width="10" style="377"/>
    <col min="14081" max="14081" width="29" style="377" customWidth="true"/>
    <col min="14082" max="14085" width="10" style="377"/>
    <col min="14086" max="14086" width="30.25" style="377" customWidth="true"/>
    <col min="14087" max="14336" width="10" style="377"/>
    <col min="14337" max="14337" width="29" style="377" customWidth="true"/>
    <col min="14338" max="14341" width="10" style="377"/>
    <col min="14342" max="14342" width="30.25" style="377" customWidth="true"/>
    <col min="14343" max="14592" width="10" style="377"/>
    <col min="14593" max="14593" width="29" style="377" customWidth="true"/>
    <col min="14594" max="14597" width="10" style="377"/>
    <col min="14598" max="14598" width="30.25" style="377" customWidth="true"/>
    <col min="14599" max="14848" width="10" style="377"/>
    <col min="14849" max="14849" width="29" style="377" customWidth="true"/>
    <col min="14850" max="14853" width="10" style="377"/>
    <col min="14854" max="14854" width="30.25" style="377" customWidth="true"/>
    <col min="14855" max="15104" width="10" style="377"/>
    <col min="15105" max="15105" width="29" style="377" customWidth="true"/>
    <col min="15106" max="15109" width="10" style="377"/>
    <col min="15110" max="15110" width="30.25" style="377" customWidth="true"/>
    <col min="15111" max="15360" width="10" style="377"/>
    <col min="15361" max="15361" width="29" style="377" customWidth="true"/>
    <col min="15362" max="15365" width="10" style="377"/>
    <col min="15366" max="15366" width="30.25" style="377" customWidth="true"/>
    <col min="15367" max="15616" width="10" style="377"/>
    <col min="15617" max="15617" width="29" style="377" customWidth="true"/>
    <col min="15618" max="15621" width="10" style="377"/>
    <col min="15622" max="15622" width="30.25" style="377" customWidth="true"/>
    <col min="15623" max="15872" width="10" style="377"/>
    <col min="15873" max="15873" width="29" style="377" customWidth="true"/>
    <col min="15874" max="15877" width="10" style="377"/>
    <col min="15878" max="15878" width="30.25" style="377" customWidth="true"/>
    <col min="15879" max="16128" width="10" style="377"/>
    <col min="16129" max="16129" width="29" style="377" customWidth="true"/>
    <col min="16130" max="16133" width="10" style="377"/>
    <col min="16134" max="16134" width="30.25" style="377" customWidth="true"/>
    <col min="16135" max="16384" width="10" style="377"/>
  </cols>
  <sheetData>
    <row r="1" spans="1:10">
      <c r="A1" s="377" t="s">
        <v>547</v>
      </c>
      <c r="B1" s="377" t="s">
        <v>18</v>
      </c>
      <c r="C1" s="377" t="s">
        <v>548</v>
      </c>
      <c r="D1" s="377" t="s">
        <v>549</v>
      </c>
      <c r="E1" s="377" t="s">
        <v>17</v>
      </c>
      <c r="J1" s="377">
        <f>SUM(J2:J10)</f>
        <v>1.88496</v>
      </c>
    </row>
    <row r="2" spans="1:10">
      <c r="A2" s="377" t="s">
        <v>550</v>
      </c>
      <c r="B2" s="377">
        <v>12</v>
      </c>
      <c r="C2" s="377">
        <v>360</v>
      </c>
      <c r="D2" s="377">
        <v>3500</v>
      </c>
      <c r="F2" s="377" t="s">
        <v>551</v>
      </c>
      <c r="H2" s="377">
        <v>1</v>
      </c>
      <c r="I2" s="377">
        <v>360</v>
      </c>
      <c r="J2" s="377">
        <f t="shared" ref="J2:J6" si="0">G2/H2*G3*I2/10000</f>
        <v>0</v>
      </c>
    </row>
    <row r="3" spans="1:7">
      <c r="A3" s="377" t="s">
        <v>552</v>
      </c>
      <c r="B3" s="377">
        <v>150</v>
      </c>
      <c r="C3" s="377">
        <v>360</v>
      </c>
      <c r="D3" s="377">
        <v>40000</v>
      </c>
      <c r="F3" s="377" t="s">
        <v>553</v>
      </c>
      <c r="G3" s="377">
        <v>3500</v>
      </c>
    </row>
    <row r="4" spans="1:10">
      <c r="A4" s="377" t="s">
        <v>554</v>
      </c>
      <c r="B4" s="377">
        <v>770</v>
      </c>
      <c r="C4" s="377">
        <v>360</v>
      </c>
      <c r="D4" s="377">
        <v>800</v>
      </c>
      <c r="F4" s="377" t="s">
        <v>555</v>
      </c>
      <c r="H4" s="377">
        <v>1000</v>
      </c>
      <c r="I4" s="377">
        <v>360</v>
      </c>
      <c r="J4" s="377">
        <f t="shared" si="0"/>
        <v>0</v>
      </c>
    </row>
    <row r="5" spans="1:7">
      <c r="A5" s="377" t="s">
        <v>556</v>
      </c>
      <c r="B5" s="377">
        <v>70</v>
      </c>
      <c r="C5" s="377">
        <v>360</v>
      </c>
      <c r="D5" s="377">
        <v>7500</v>
      </c>
      <c r="F5" s="377" t="s">
        <v>557</v>
      </c>
      <c r="G5" s="377">
        <v>40000</v>
      </c>
    </row>
    <row r="6" spans="1:10">
      <c r="A6" s="377" t="s">
        <v>558</v>
      </c>
      <c r="B6" s="377">
        <v>3000</v>
      </c>
      <c r="C6" s="377">
        <v>360</v>
      </c>
      <c r="D6" s="377">
        <v>5000</v>
      </c>
      <c r="F6" s="377" t="s">
        <v>559</v>
      </c>
      <c r="G6" s="377">
        <f>+成本!D16</f>
        <v>23.562</v>
      </c>
      <c r="H6" s="377">
        <v>1</v>
      </c>
      <c r="I6" s="377">
        <v>1</v>
      </c>
      <c r="J6" s="377">
        <f t="shared" si="0"/>
        <v>1.88496</v>
      </c>
    </row>
    <row r="7" spans="6:7">
      <c r="F7" s="377" t="s">
        <v>560</v>
      </c>
      <c r="G7" s="377">
        <v>800</v>
      </c>
    </row>
    <row r="8" spans="6:10">
      <c r="F8" s="377" t="s">
        <v>561</v>
      </c>
      <c r="H8" s="377">
        <v>1</v>
      </c>
      <c r="I8" s="377">
        <v>1</v>
      </c>
      <c r="J8" s="377">
        <f>G8/H8*G9*I8/10000</f>
        <v>0</v>
      </c>
    </row>
    <row r="9" spans="6:7">
      <c r="F9" s="377" t="s">
        <v>562</v>
      </c>
      <c r="G9" s="377">
        <v>7500</v>
      </c>
    </row>
    <row r="10" spans="6:10">
      <c r="F10" s="377" t="s">
        <v>563</v>
      </c>
      <c r="H10" s="377">
        <v>1000</v>
      </c>
      <c r="I10" s="377">
        <v>360</v>
      </c>
      <c r="J10" s="377">
        <f>G10/H10*G11*I10/10000</f>
        <v>0</v>
      </c>
    </row>
    <row r="11" spans="6:7">
      <c r="F11" s="377" t="s">
        <v>564</v>
      </c>
      <c r="G11" s="377">
        <v>5000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1:AE67"/>
  <sheetViews>
    <sheetView view="pageBreakPreview" zoomScaleNormal="100" zoomScaleSheetLayoutView="100" workbookViewId="0">
      <selection activeCell="D47" sqref="D47"/>
    </sheetView>
  </sheetViews>
  <sheetFormatPr defaultColWidth="10" defaultRowHeight="14.25"/>
  <cols>
    <col min="1" max="1" width="10" style="234"/>
    <col min="2" max="2" width="9.75" style="336" customWidth="true"/>
    <col min="3" max="3" width="47.875" style="234" customWidth="true"/>
    <col min="4" max="4" width="17.5" style="234" customWidth="true"/>
    <col min="5" max="5" width="8.625" style="234" customWidth="true"/>
    <col min="6" max="6" width="17.125" style="234" customWidth="true"/>
    <col min="7" max="7" width="7.875" style="234" customWidth="true"/>
    <col min="8" max="10" width="7.375" style="234" customWidth="true"/>
    <col min="11" max="11" width="8.375" style="234" customWidth="true"/>
    <col min="12" max="12" width="7.375" style="234" customWidth="true"/>
    <col min="13" max="13" width="11.875" style="234" customWidth="true"/>
    <col min="14" max="14" width="10.5" style="234" customWidth="true"/>
    <col min="15" max="26" width="7.375" style="234" customWidth="true"/>
    <col min="27" max="16384" width="10" style="234"/>
  </cols>
  <sheetData>
    <row r="1" ht="21.75" customHeight="true" spans="3:3">
      <c r="C1" s="337" t="s">
        <v>565</v>
      </c>
    </row>
    <row r="2" ht="6.75" customHeight="true"/>
    <row r="3" s="334" customFormat="true" ht="24.75" customHeight="true" spans="2:14">
      <c r="B3" s="32" t="s">
        <v>2</v>
      </c>
      <c r="C3" s="32" t="s">
        <v>475</v>
      </c>
      <c r="D3" s="32" t="s">
        <v>566</v>
      </c>
      <c r="F3" s="252"/>
      <c r="G3" s="252"/>
      <c r="H3" s="350">
        <f>D35</f>
        <v>0.0384</v>
      </c>
      <c r="I3" s="365">
        <f>D36</f>
        <v>0.04</v>
      </c>
      <c r="J3" s="366">
        <f>D37</f>
        <v>0.005</v>
      </c>
      <c r="K3" s="367">
        <f>D39</f>
        <v>5</v>
      </c>
      <c r="L3" s="368">
        <f>D40</f>
        <v>0.2</v>
      </c>
      <c r="M3" s="371">
        <f>D41</f>
        <v>0</v>
      </c>
      <c r="N3" s="334" t="e">
        <f>G62</f>
        <v>#REF!</v>
      </c>
    </row>
    <row r="4" s="335" customFormat="true" ht="12.95" customHeight="true" spans="2:9">
      <c r="B4" s="32">
        <v>1</v>
      </c>
      <c r="C4" s="132" t="s">
        <v>567</v>
      </c>
      <c r="D4" s="338">
        <f>SUM('总表 (2)'!D46:D48)</f>
        <v>6</v>
      </c>
      <c r="F4" s="252"/>
      <c r="G4" s="252"/>
      <c r="H4" s="252"/>
      <c r="I4" s="252"/>
    </row>
    <row r="5" s="335" customFormat="true" ht="12.95" hidden="true" customHeight="true" spans="2:12">
      <c r="B5" s="32">
        <v>2</v>
      </c>
      <c r="C5" s="132" t="s">
        <v>568</v>
      </c>
      <c r="D5" s="338">
        <v>1.3</v>
      </c>
      <c r="F5" s="252"/>
      <c r="G5" s="252"/>
      <c r="H5" s="252"/>
      <c r="I5" s="252"/>
      <c r="J5" s="369"/>
      <c r="L5" s="369"/>
    </row>
    <row r="6" s="335" customFormat="true" ht="12.95" customHeight="true" spans="2:12">
      <c r="B6" s="32">
        <v>3</v>
      </c>
      <c r="C6" s="132" t="s">
        <v>569</v>
      </c>
      <c r="D6" s="338">
        <v>19420.55</v>
      </c>
      <c r="H6" s="351"/>
      <c r="I6" s="369"/>
      <c r="J6" s="369"/>
      <c r="L6" s="369"/>
    </row>
    <row r="7" s="335" customFormat="true" ht="12.95" customHeight="true" spans="2:26">
      <c r="B7" s="32">
        <f t="shared" ref="B7:B12" si="0">B6+1</f>
        <v>4</v>
      </c>
      <c r="C7" s="132" t="s">
        <v>570</v>
      </c>
      <c r="D7" s="339">
        <v>0.7497</v>
      </c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</row>
    <row r="8" s="335" customFormat="true" ht="12.95" customHeight="true" spans="2:26">
      <c r="B8" s="32">
        <f t="shared" si="0"/>
        <v>5</v>
      </c>
      <c r="C8" s="132" t="s">
        <v>571</v>
      </c>
      <c r="D8" s="340">
        <v>1430</v>
      </c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</row>
    <row r="9" s="335" customFormat="true" ht="12.95" customHeight="true" spans="2:26">
      <c r="B9" s="32">
        <f t="shared" si="0"/>
        <v>6</v>
      </c>
      <c r="C9" s="132" t="s">
        <v>572</v>
      </c>
      <c r="D9" s="341">
        <v>21.6</v>
      </c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</row>
    <row r="10" s="335" customFormat="true" ht="12.95" customHeight="true" spans="2:26">
      <c r="B10" s="32">
        <f t="shared" si="0"/>
        <v>7</v>
      </c>
      <c r="C10" s="132" t="s">
        <v>573</v>
      </c>
      <c r="D10" s="338"/>
      <c r="G10" s="252"/>
      <c r="H10" s="353"/>
      <c r="I10" s="370"/>
      <c r="J10" s="370"/>
      <c r="K10" s="252"/>
      <c r="L10" s="370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</row>
    <row r="11" s="335" customFormat="true" ht="12.75" customHeight="true" spans="2:26">
      <c r="B11" s="32">
        <f t="shared" si="0"/>
        <v>8</v>
      </c>
      <c r="C11" s="132" t="s">
        <v>574</v>
      </c>
      <c r="D11" s="338">
        <v>2.55</v>
      </c>
      <c r="G11" s="354"/>
      <c r="H11" s="353"/>
      <c r="I11" s="370"/>
      <c r="J11" s="370"/>
      <c r="K11" s="252"/>
      <c r="L11" s="370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</row>
    <row r="12" s="335" customFormat="true" ht="12.95" hidden="true" customHeight="true" spans="2:26">
      <c r="B12" s="32">
        <f t="shared" si="0"/>
        <v>9</v>
      </c>
      <c r="C12" s="342" t="s">
        <v>551</v>
      </c>
      <c r="D12" s="343">
        <v>12</v>
      </c>
      <c r="G12" s="355"/>
      <c r="H12" s="355"/>
      <c r="I12" s="355"/>
      <c r="J12" s="355"/>
      <c r="K12" s="355"/>
      <c r="L12" s="355"/>
      <c r="M12" s="372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</row>
    <row r="13" s="335" customFormat="true" ht="12.95" hidden="true" customHeight="true" spans="2:26">
      <c r="B13" s="32">
        <f>yjs+1</f>
        <v>10</v>
      </c>
      <c r="C13" s="132" t="s">
        <v>553</v>
      </c>
      <c r="D13" s="338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</row>
    <row r="14" s="335" customFormat="true" ht="12.95" hidden="true" customHeight="true" spans="2:26">
      <c r="B14" s="32">
        <f>yjs+2</f>
        <v>11</v>
      </c>
      <c r="C14" s="132" t="s">
        <v>555</v>
      </c>
      <c r="D14" s="338">
        <v>150</v>
      </c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</row>
    <row r="15" s="335" customFormat="true" ht="12.95" hidden="true" customHeight="true" spans="2:26">
      <c r="B15" s="32">
        <f>yjs+3</f>
        <v>12</v>
      </c>
      <c r="C15" s="132" t="s">
        <v>557</v>
      </c>
      <c r="D15" s="338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</row>
    <row r="16" s="335" customFormat="true" ht="12.95" customHeight="true" spans="2:26">
      <c r="B16" s="32">
        <f>yjs+4</f>
        <v>13</v>
      </c>
      <c r="C16" s="132" t="s">
        <v>559</v>
      </c>
      <c r="D16" s="338">
        <f>+F16*360/1000</f>
        <v>23.562</v>
      </c>
      <c r="F16" s="335">
        <v>65.45</v>
      </c>
      <c r="G16" s="352" t="s">
        <v>575</v>
      </c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</row>
    <row r="17" s="335" customFormat="true" ht="12.95" customHeight="true" spans="2:26">
      <c r="B17" s="32">
        <f>yjs+5</f>
        <v>14</v>
      </c>
      <c r="C17" s="132" t="s">
        <v>560</v>
      </c>
      <c r="D17" s="338">
        <v>800</v>
      </c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</row>
    <row r="18" s="335" customFormat="true" ht="12.95" hidden="true" customHeight="true" spans="2:26">
      <c r="B18" s="32">
        <f>yjs+6</f>
        <v>15</v>
      </c>
      <c r="C18" s="132" t="s">
        <v>561</v>
      </c>
      <c r="D18" s="338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</row>
    <row r="19" s="335" customFormat="true" ht="12.95" hidden="true" customHeight="true" spans="2:26">
      <c r="B19" s="32">
        <f>yjs+7</f>
        <v>16</v>
      </c>
      <c r="C19" s="132" t="s">
        <v>562</v>
      </c>
      <c r="D19" s="338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</row>
    <row r="20" s="335" customFormat="true" ht="12.95" hidden="true" customHeight="true" spans="2:26">
      <c r="B20" s="32">
        <f>yjs+8</f>
        <v>17</v>
      </c>
      <c r="C20" s="132" t="s">
        <v>563</v>
      </c>
      <c r="D20" s="338">
        <v>0</v>
      </c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</row>
    <row r="21" s="335" customFormat="true" ht="12.95" hidden="true" customHeight="true" spans="2:12">
      <c r="B21" s="32">
        <f>yjs+ROW(yje)-ROW(yjs)</f>
        <v>18</v>
      </c>
      <c r="C21" s="342" t="s">
        <v>564</v>
      </c>
      <c r="D21" s="338">
        <v>5000</v>
      </c>
      <c r="H21" s="351"/>
      <c r="I21" s="369"/>
      <c r="J21" s="369"/>
      <c r="L21" s="369"/>
    </row>
    <row r="22" s="335" customFormat="true" ht="12.95" hidden="true" customHeight="true" spans="2:12">
      <c r="B22" s="32">
        <f>B12+ROW(A22)-ROW(A12)</f>
        <v>19</v>
      </c>
      <c r="C22" s="342" t="s">
        <v>576</v>
      </c>
      <c r="D22" s="340">
        <v>0</v>
      </c>
      <c r="H22" s="351"/>
      <c r="I22" s="369"/>
      <c r="J22" s="369"/>
      <c r="L22" s="369"/>
    </row>
    <row r="23" s="335" customFormat="true" ht="12.95" hidden="true" customHeight="true" spans="2:12">
      <c r="B23" s="32">
        <f t="shared" ref="B23:B26" si="1">B22+1</f>
        <v>20</v>
      </c>
      <c r="C23" s="342" t="s">
        <v>577</v>
      </c>
      <c r="D23" s="338">
        <v>100</v>
      </c>
      <c r="H23" s="351"/>
      <c r="I23" s="369"/>
      <c r="J23" s="369"/>
      <c r="L23" s="369"/>
    </row>
    <row r="24" s="335" customFormat="true" ht="12.95" customHeight="true" spans="2:4">
      <c r="B24" s="32">
        <f t="shared" si="1"/>
        <v>21</v>
      </c>
      <c r="C24" s="132" t="s">
        <v>578</v>
      </c>
      <c r="D24" s="338">
        <f>4*6</f>
        <v>24</v>
      </c>
    </row>
    <row r="25" s="335" customFormat="true" ht="12.95" customHeight="true" spans="2:4">
      <c r="B25" s="32">
        <f t="shared" si="1"/>
        <v>22</v>
      </c>
      <c r="C25" s="132" t="s">
        <v>579</v>
      </c>
      <c r="D25" s="338">
        <v>80000</v>
      </c>
    </row>
    <row r="26" s="335" customFormat="true" ht="12.95" customHeight="true" spans="2:4">
      <c r="B26" s="32">
        <f t="shared" si="1"/>
        <v>23</v>
      </c>
      <c r="C26" s="132" t="s">
        <v>580</v>
      </c>
      <c r="D26" s="338" t="e">
        <f>SUM(D27:D34)</f>
        <v>#REF!</v>
      </c>
    </row>
    <row r="27" s="335" customFormat="true" ht="12.95" customHeight="true" spans="2:4">
      <c r="B27" s="32"/>
      <c r="C27" s="132" t="s">
        <v>581</v>
      </c>
      <c r="D27" s="338" t="e">
        <f>('总表 (2)'!J10+'总表 (2)'!J20+'总表 (2)'!J28+'总表 (2)'!J32-D28-D29)</f>
        <v>#REF!</v>
      </c>
    </row>
    <row r="28" s="335" customFormat="true" ht="12.95" hidden="true" customHeight="true" spans="2:7">
      <c r="B28" s="32"/>
      <c r="C28" s="132" t="s">
        <v>582</v>
      </c>
      <c r="D28" s="338"/>
      <c r="G28" s="352"/>
    </row>
    <row r="29" s="335" customFormat="true" ht="12.95" customHeight="true" spans="2:4">
      <c r="B29" s="32"/>
      <c r="C29" s="132" t="s">
        <v>583</v>
      </c>
      <c r="D29" s="338" t="e">
        <f>'总表 (2)'!J16</f>
        <v>#REF!</v>
      </c>
    </row>
    <row r="30" s="335" customFormat="true" ht="12.95" customHeight="true" spans="2:4">
      <c r="B30" s="32"/>
      <c r="C30" s="132" t="s">
        <v>584</v>
      </c>
      <c r="D30" s="338" t="e">
        <f>利息!I15</f>
        <v>#REF!</v>
      </c>
    </row>
    <row r="31" s="335" customFormat="true" ht="12.95" customHeight="true" spans="2:6">
      <c r="B31" s="32"/>
      <c r="C31" s="132" t="s">
        <v>585</v>
      </c>
      <c r="D31" s="338" t="e">
        <f>G62*F31</f>
        <v>#REF!</v>
      </c>
      <c r="F31" s="335">
        <f>IF('总表 (2)'!D46&gt;0,1,0)</f>
        <v>0</v>
      </c>
    </row>
    <row r="32" s="335" customFormat="true" ht="12.95" hidden="true" customHeight="true" spans="2:4">
      <c r="B32" s="32"/>
      <c r="C32" s="132"/>
      <c r="D32" s="338"/>
    </row>
    <row r="33" s="335" customFormat="true" ht="12.95" hidden="true" customHeight="true" spans="2:4">
      <c r="B33" s="32"/>
      <c r="C33" s="132"/>
      <c r="D33" s="338"/>
    </row>
    <row r="34" s="335" customFormat="true" ht="12.95" hidden="true" customHeight="true" spans="2:4">
      <c r="B34" s="32"/>
      <c r="C34" s="132"/>
      <c r="D34" s="338"/>
    </row>
    <row r="35" s="335" customFormat="true" ht="12.95" customHeight="true" spans="2:8">
      <c r="B35" s="32">
        <f>B26+1</f>
        <v>24</v>
      </c>
      <c r="C35" s="132" t="s">
        <v>586</v>
      </c>
      <c r="D35" s="344">
        <f>+H35/100</f>
        <v>0.0384</v>
      </c>
      <c r="F35" s="335">
        <f>ROUND((1-D36)/D35,0)</f>
        <v>25</v>
      </c>
      <c r="H35" s="335">
        <f>96/25</f>
        <v>3.84</v>
      </c>
    </row>
    <row r="36" s="335" customFormat="true" ht="12.95" customHeight="true" spans="2:7">
      <c r="B36" s="32">
        <f t="shared" ref="B36:B38" si="2">B35+1</f>
        <v>25</v>
      </c>
      <c r="C36" s="132" t="s">
        <v>587</v>
      </c>
      <c r="D36" s="345">
        <v>0.04</v>
      </c>
      <c r="F36" s="356" t="e">
        <f>(D27+D30)*D36</f>
        <v>#REF!</v>
      </c>
      <c r="G36" s="357"/>
    </row>
    <row r="37" s="335" customFormat="true" ht="12.95" customHeight="true" spans="2:4">
      <c r="B37" s="32">
        <f t="shared" si="2"/>
        <v>26</v>
      </c>
      <c r="C37" s="132" t="s">
        <v>588</v>
      </c>
      <c r="D37" s="346">
        <v>0.005</v>
      </c>
    </row>
    <row r="38" s="335" customFormat="true" ht="12.95" hidden="true" customHeight="true" spans="2:4">
      <c r="B38" s="32">
        <f t="shared" si="2"/>
        <v>27</v>
      </c>
      <c r="C38" s="132" t="s">
        <v>589</v>
      </c>
      <c r="D38" s="344"/>
    </row>
    <row r="39" s="335" customFormat="true" ht="12.95" customHeight="true" spans="2:4">
      <c r="B39" s="32">
        <f>B37+1</f>
        <v>27</v>
      </c>
      <c r="C39" s="132" t="s">
        <v>590</v>
      </c>
      <c r="D39" s="347">
        <v>5</v>
      </c>
    </row>
    <row r="40" s="335" customFormat="true" ht="12.95" customHeight="true" spans="2:4">
      <c r="B40" s="32">
        <f>B39+1</f>
        <v>28</v>
      </c>
      <c r="C40" s="132" t="s">
        <v>591</v>
      </c>
      <c r="D40" s="345">
        <v>0.2</v>
      </c>
    </row>
    <row r="41" s="335" customFormat="true" ht="12.95" customHeight="true" spans="2:4">
      <c r="B41" s="32">
        <f>B40+1</f>
        <v>29</v>
      </c>
      <c r="C41" s="132" t="s">
        <v>592</v>
      </c>
      <c r="D41" s="344">
        <v>0</v>
      </c>
    </row>
    <row r="42" s="335" customFormat="true" ht="27.2" customHeight="true" spans="2:4">
      <c r="B42" s="32"/>
      <c r="C42" s="32" t="s">
        <v>593</v>
      </c>
      <c r="D42" s="32" t="s">
        <v>594</v>
      </c>
    </row>
    <row r="43" s="335" customFormat="true" ht="12.95" customHeight="true" spans="2:7">
      <c r="B43" s="32">
        <v>1</v>
      </c>
      <c r="C43" s="132" t="s">
        <v>595</v>
      </c>
      <c r="D43" s="338">
        <f>D6*360*D7/10000+D8*D9*12/10000</f>
        <v>561.21070806</v>
      </c>
      <c r="E43" s="358" t="e">
        <f>+D43/$D$56</f>
        <v>#REF!</v>
      </c>
      <c r="F43" s="335">
        <f>0.27*D4*10000*360*D7/10000</f>
        <v>437.22504</v>
      </c>
      <c r="G43" s="351"/>
    </row>
    <row r="44" s="335" customFormat="true" ht="12.95" customHeight="true" spans="2:7">
      <c r="B44" s="32">
        <v>2</v>
      </c>
      <c r="C44" s="132" t="s">
        <v>596</v>
      </c>
      <c r="D44" s="338">
        <f>D10*D11*360/10000</f>
        <v>0</v>
      </c>
      <c r="E44" s="358" t="e">
        <f t="shared" ref="E44:E56" si="3">+D44/$D$56</f>
        <v>#REF!</v>
      </c>
      <c r="G44" s="351"/>
    </row>
    <row r="45" s="335" customFormat="true" ht="12.95" customHeight="true" spans="2:7">
      <c r="B45" s="32">
        <v>3</v>
      </c>
      <c r="C45" s="132" t="s">
        <v>597</v>
      </c>
      <c r="D45" s="338">
        <f>药剂!J1</f>
        <v>1.88496</v>
      </c>
      <c r="E45" s="358" t="e">
        <f t="shared" si="3"/>
        <v>#REF!</v>
      </c>
      <c r="F45" s="253"/>
      <c r="G45" s="359"/>
    </row>
    <row r="46" s="335" customFormat="true" ht="12.95" customHeight="true" spans="2:7">
      <c r="B46" s="32">
        <v>4</v>
      </c>
      <c r="C46" s="132" t="s">
        <v>598</v>
      </c>
      <c r="D46" s="338">
        <f>D24*D25/10000</f>
        <v>192</v>
      </c>
      <c r="E46" s="358" t="e">
        <f t="shared" si="3"/>
        <v>#REF!</v>
      </c>
      <c r="F46" s="253"/>
      <c r="G46" s="359"/>
    </row>
    <row r="47" s="335" customFormat="true" ht="12.95" customHeight="true" spans="2:31">
      <c r="B47" s="32">
        <v>5</v>
      </c>
      <c r="C47" s="132" t="s">
        <v>599</v>
      </c>
      <c r="D47" s="338">
        <f>年成本分析!AH11/'总表 (2)'!D43</f>
        <v>0</v>
      </c>
      <c r="E47" s="358" t="e">
        <f t="shared" si="3"/>
        <v>#REF!</v>
      </c>
      <c r="F47" s="360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</row>
    <row r="48" s="335" customFormat="true" ht="12.95" customHeight="true" spans="2:18">
      <c r="B48" s="32">
        <v>6</v>
      </c>
      <c r="C48" s="132" t="s">
        <v>600</v>
      </c>
      <c r="D48" s="338" t="e">
        <f>(D27+D30)*D35</f>
        <v>#REF!</v>
      </c>
      <c r="E48" s="358" t="e">
        <f t="shared" si="3"/>
        <v>#REF!</v>
      </c>
      <c r="F48" s="361"/>
      <c r="G48" s="351"/>
      <c r="H48" s="351"/>
      <c r="I48" s="351"/>
      <c r="J48" s="351"/>
      <c r="K48" s="351"/>
      <c r="L48" s="351"/>
      <c r="M48" s="351"/>
      <c r="N48" s="373"/>
      <c r="O48" s="351"/>
      <c r="P48" s="351"/>
      <c r="Q48" s="351"/>
      <c r="R48" s="351"/>
    </row>
    <row r="49" s="335" customFormat="true" ht="12.95" customHeight="true" spans="2:7">
      <c r="B49" s="32">
        <f t="shared" ref="B49:B54" si="4">B48+1</f>
        <v>7</v>
      </c>
      <c r="C49" s="132" t="s">
        <v>601</v>
      </c>
      <c r="D49" s="338" t="e">
        <f>(D27-'总表 (2)'!J17-'总表 (2)'!J32)*D37</f>
        <v>#REF!</v>
      </c>
      <c r="E49" s="358" t="e">
        <f t="shared" si="3"/>
        <v>#REF!</v>
      </c>
      <c r="F49" s="362"/>
      <c r="G49" s="351"/>
    </row>
    <row r="50" s="335" customFormat="true" ht="12.75" customHeight="true" spans="2:7">
      <c r="B50" s="32">
        <f t="shared" si="4"/>
        <v>8</v>
      </c>
      <c r="C50" s="132" t="s">
        <v>504</v>
      </c>
      <c r="D50" s="338"/>
      <c r="E50" s="358" t="e">
        <f t="shared" si="3"/>
        <v>#REF!</v>
      </c>
      <c r="F50" s="253"/>
      <c r="G50" s="351"/>
    </row>
    <row r="51" s="335" customFormat="true" ht="12.95" customHeight="true" spans="2:7">
      <c r="B51" s="32">
        <f t="shared" si="4"/>
        <v>9</v>
      </c>
      <c r="C51" s="132" t="s">
        <v>602</v>
      </c>
      <c r="D51" s="338" t="e">
        <f>D29*D40</f>
        <v>#REF!</v>
      </c>
      <c r="E51" s="358" t="e">
        <f t="shared" si="3"/>
        <v>#REF!</v>
      </c>
      <c r="G51" s="351"/>
    </row>
    <row r="52" s="335" customFormat="true" ht="12.95" customHeight="true" spans="2:7">
      <c r="B52" s="32">
        <f t="shared" si="4"/>
        <v>10</v>
      </c>
      <c r="C52" s="132" t="s">
        <v>603</v>
      </c>
      <c r="D52" s="338">
        <f>D22*D23*360/10000</f>
        <v>0</v>
      </c>
      <c r="E52" s="358" t="e">
        <f t="shared" si="3"/>
        <v>#REF!</v>
      </c>
      <c r="G52" s="351"/>
    </row>
    <row r="53" s="335" customFormat="true" ht="12.95" customHeight="true" spans="2:6">
      <c r="B53" s="32">
        <f t="shared" si="4"/>
        <v>11</v>
      </c>
      <c r="C53" s="132" t="s">
        <v>500</v>
      </c>
      <c r="D53" s="338" t="e">
        <f>年成本分析!AH17/20</f>
        <v>#REF!</v>
      </c>
      <c r="E53" s="358" t="e">
        <f t="shared" si="3"/>
        <v>#REF!</v>
      </c>
      <c r="F53" s="360"/>
    </row>
    <row r="54" s="335" customFormat="true" ht="12.95" hidden="true" customHeight="true" spans="2:6">
      <c r="B54" s="32">
        <f t="shared" si="4"/>
        <v>12</v>
      </c>
      <c r="C54" s="132" t="s">
        <v>604</v>
      </c>
      <c r="D54" s="338">
        <f>年成本分析!AH18/20</f>
        <v>0</v>
      </c>
      <c r="E54" s="358" t="e">
        <f t="shared" si="3"/>
        <v>#REF!</v>
      </c>
      <c r="F54" s="360"/>
    </row>
    <row r="55" s="335" customFormat="true" ht="12.95" customHeight="true" spans="2:18">
      <c r="B55" s="32">
        <f>B53+1</f>
        <v>12</v>
      </c>
      <c r="C55" s="132" t="s">
        <v>605</v>
      </c>
      <c r="D55" s="338" t="e">
        <f>G61*'总表 (2)'!E63*D41</f>
        <v>#REF!</v>
      </c>
      <c r="E55" s="358" t="e">
        <f t="shared" si="3"/>
        <v>#REF!</v>
      </c>
      <c r="F55" s="363"/>
      <c r="G55" s="359"/>
      <c r="H55" s="364"/>
      <c r="I55" s="359"/>
      <c r="J55" s="359"/>
      <c r="K55" s="359"/>
      <c r="L55" s="359"/>
      <c r="M55" s="359"/>
      <c r="N55" s="359"/>
      <c r="O55" s="359"/>
      <c r="P55" s="359"/>
      <c r="Q55" s="359"/>
      <c r="R55" s="359"/>
    </row>
    <row r="56" s="335" customFormat="true" ht="12.95" customHeight="true" spans="2:18">
      <c r="B56" s="32">
        <f>B55+1</f>
        <v>13</v>
      </c>
      <c r="C56" s="132" t="s">
        <v>606</v>
      </c>
      <c r="D56" s="338" t="e">
        <f>SUM(D43:D55)</f>
        <v>#REF!</v>
      </c>
      <c r="E56" s="358" t="e">
        <f t="shared" si="3"/>
        <v>#REF!</v>
      </c>
      <c r="F56" s="363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</row>
    <row r="57" s="335" customFormat="true" ht="12.95" customHeight="true" spans="2:4">
      <c r="B57" s="32"/>
      <c r="C57" s="132" t="s">
        <v>607</v>
      </c>
      <c r="D57" s="338" t="e">
        <f>D43+D44+D45+D52+D53+D54+D55</f>
        <v>#REF!</v>
      </c>
    </row>
    <row r="58" s="335" customFormat="true" ht="12.95" customHeight="true" spans="2:4">
      <c r="B58" s="32"/>
      <c r="C58" s="132" t="s">
        <v>608</v>
      </c>
      <c r="D58" s="338" t="e">
        <f>D46+D47+D48+D49+D50+D51</f>
        <v>#REF!</v>
      </c>
    </row>
    <row r="59" s="335" customFormat="true" ht="12.95" customHeight="true" spans="2:4">
      <c r="B59" s="32">
        <f>B56+1</f>
        <v>14</v>
      </c>
      <c r="C59" s="132" t="s">
        <v>609</v>
      </c>
      <c r="D59" s="338" t="e">
        <f>D56/(D4*360)</f>
        <v>#REF!</v>
      </c>
    </row>
    <row r="60" s="335" customFormat="true" ht="12.95" customHeight="true" spans="2:4">
      <c r="B60" s="32"/>
      <c r="C60" s="132" t="s">
        <v>610</v>
      </c>
      <c r="D60" s="338" t="e">
        <f>D57/(D4*360)</f>
        <v>#REF!</v>
      </c>
    </row>
    <row r="61" s="335" customFormat="true" ht="12.95" customHeight="true" spans="2:7">
      <c r="B61" s="32">
        <f>B59+1</f>
        <v>15</v>
      </c>
      <c r="C61" s="132" t="s">
        <v>611</v>
      </c>
      <c r="D61" s="348" t="e">
        <f>D43+D44+D45+D46+D49+D52+D53</f>
        <v>#REF!</v>
      </c>
      <c r="F61" s="335" t="s">
        <v>612</v>
      </c>
      <c r="G61" s="353" t="e">
        <f>流动资金!L12</f>
        <v>#REF!</v>
      </c>
    </row>
    <row r="62" s="335" customFormat="true" ht="12.95" customHeight="true" spans="2:7">
      <c r="B62" s="32">
        <f>B61+1</f>
        <v>16</v>
      </c>
      <c r="C62" s="132" t="s">
        <v>613</v>
      </c>
      <c r="D62" s="338" t="e">
        <f>D61/(D4*360)</f>
        <v>#REF!</v>
      </c>
      <c r="F62" s="335" t="s">
        <v>614</v>
      </c>
      <c r="G62" s="252" t="e">
        <f>G61*0.3</f>
        <v>#REF!</v>
      </c>
    </row>
    <row r="64" spans="3:3">
      <c r="C64" s="349"/>
    </row>
    <row r="66" spans="3:6">
      <c r="C66" s="374" t="s">
        <v>615</v>
      </c>
      <c r="D66" s="375" t="e">
        <f>D58/(损益表!H6-损益表!H8-成本!D57)</f>
        <v>#REF!</v>
      </c>
      <c r="F66" s="376" t="e">
        <f>D58</f>
        <v>#REF!</v>
      </c>
    </row>
    <row r="67" spans="6:6">
      <c r="F67" s="234" t="e">
        <f>损益表!H6&amp;"-"&amp;损益表!G8&amp;"-"&amp;D57</f>
        <v>#REF!</v>
      </c>
    </row>
  </sheetData>
  <printOptions horizontalCentered="true"/>
  <pageMargins left="0.45" right="0.51" top="0.53" bottom="0.23" header="0" footer="0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B1:BA24"/>
  <sheetViews>
    <sheetView showZeros="0" view="pageBreakPreview" zoomScaleNormal="106" zoomScaleSheetLayoutView="100" workbookViewId="0">
      <selection activeCell="H113" sqref="H113"/>
    </sheetView>
  </sheetViews>
  <sheetFormatPr defaultColWidth="10" defaultRowHeight="10.5"/>
  <cols>
    <col min="1" max="1" width="2.625" style="2" customWidth="true"/>
    <col min="2" max="2" width="4.5" style="2" customWidth="true"/>
    <col min="3" max="3" width="16.625" style="2" customWidth="true"/>
    <col min="4" max="4" width="7.375" style="2" customWidth="true"/>
    <col min="5" max="5" width="4.875" style="2" customWidth="true"/>
    <col min="6" max="25" width="6.25" style="2" customWidth="true"/>
    <col min="26" max="26" width="8.625" style="2" customWidth="true"/>
    <col min="27" max="30" width="8.75" style="2" customWidth="true"/>
    <col min="31" max="32" width="8.75" style="2" hidden="true" customWidth="true" outlineLevel="1"/>
    <col min="33" max="34" width="8.625" style="2" hidden="true" customWidth="true" outlineLevel="1"/>
    <col min="35" max="35" width="7.875" style="2" hidden="true" customWidth="true" outlineLevel="1"/>
    <col min="36" max="36" width="10" style="2" collapsed="true"/>
    <col min="37" max="16384" width="10" style="2"/>
  </cols>
  <sheetData>
    <row r="1" s="200" customFormat="true" ht="32.25" customHeight="true" spans="2:34">
      <c r="B1" s="203" t="s">
        <v>616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ht="9.75" customHeight="true" spans="2:35">
      <c r="B2" s="232" t="s">
        <v>617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</row>
    <row r="3" ht="6" customHeight="true" spans="2:35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</row>
    <row r="4" s="1" customFormat="true" ht="14.25" spans="2:36">
      <c r="B4" s="125" t="s">
        <v>493</v>
      </c>
      <c r="C4" s="126" t="s">
        <v>618</v>
      </c>
      <c r="D4" s="325" t="s">
        <v>619</v>
      </c>
      <c r="E4" s="325" t="s">
        <v>620</v>
      </c>
      <c r="F4" s="41" t="s">
        <v>621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4"/>
      <c r="AJ4" s="333"/>
    </row>
    <row r="5" s="1" customFormat="true" ht="14.25" spans="2:35">
      <c r="B5" s="127" t="s">
        <v>496</v>
      </c>
      <c r="C5" s="8" t="s">
        <v>475</v>
      </c>
      <c r="D5" s="326"/>
      <c r="E5" s="326"/>
      <c r="F5" s="9">
        <f>'总表 (2)'!D42+1</f>
        <v>3</v>
      </c>
      <c r="G5" s="9">
        <f t="shared" ref="G5:AI5" si="0">F5+1</f>
        <v>4</v>
      </c>
      <c r="H5" s="9">
        <f t="shared" si="0"/>
        <v>5</v>
      </c>
      <c r="I5" s="9">
        <f t="shared" si="0"/>
        <v>6</v>
      </c>
      <c r="J5" s="9">
        <f t="shared" si="0"/>
        <v>7</v>
      </c>
      <c r="K5" s="9">
        <f t="shared" si="0"/>
        <v>8</v>
      </c>
      <c r="L5" s="9">
        <f t="shared" si="0"/>
        <v>9</v>
      </c>
      <c r="M5" s="9">
        <f t="shared" si="0"/>
        <v>10</v>
      </c>
      <c r="N5" s="9">
        <f t="shared" si="0"/>
        <v>11</v>
      </c>
      <c r="O5" s="9">
        <f t="shared" si="0"/>
        <v>12</v>
      </c>
      <c r="P5" s="9">
        <f t="shared" si="0"/>
        <v>13</v>
      </c>
      <c r="Q5" s="9">
        <f t="shared" si="0"/>
        <v>14</v>
      </c>
      <c r="R5" s="9">
        <f t="shared" si="0"/>
        <v>15</v>
      </c>
      <c r="S5" s="9">
        <f t="shared" si="0"/>
        <v>16</v>
      </c>
      <c r="T5" s="9">
        <f t="shared" si="0"/>
        <v>17</v>
      </c>
      <c r="U5" s="9">
        <f t="shared" si="0"/>
        <v>18</v>
      </c>
      <c r="V5" s="329">
        <f t="shared" si="0"/>
        <v>19</v>
      </c>
      <c r="W5" s="329">
        <f t="shared" si="0"/>
        <v>20</v>
      </c>
      <c r="X5" s="329">
        <f t="shared" si="0"/>
        <v>21</v>
      </c>
      <c r="Y5" s="32">
        <f t="shared" si="0"/>
        <v>22</v>
      </c>
      <c r="Z5" s="32">
        <f t="shared" si="0"/>
        <v>23</v>
      </c>
      <c r="AA5" s="32">
        <f t="shared" si="0"/>
        <v>24</v>
      </c>
      <c r="AB5" s="32">
        <f t="shared" si="0"/>
        <v>25</v>
      </c>
      <c r="AC5" s="32">
        <f t="shared" si="0"/>
        <v>26</v>
      </c>
      <c r="AD5" s="32">
        <f t="shared" si="0"/>
        <v>27</v>
      </c>
      <c r="AE5" s="32">
        <f t="shared" si="0"/>
        <v>28</v>
      </c>
      <c r="AF5" s="32">
        <f t="shared" si="0"/>
        <v>29</v>
      </c>
      <c r="AG5" s="32">
        <f t="shared" si="0"/>
        <v>30</v>
      </c>
      <c r="AH5" s="32">
        <f t="shared" si="0"/>
        <v>31</v>
      </c>
      <c r="AI5" s="32">
        <f t="shared" si="0"/>
        <v>32</v>
      </c>
    </row>
    <row r="6" ht="15" customHeight="true" spans="2:35">
      <c r="B6" s="239">
        <v>1</v>
      </c>
      <c r="C6" s="14" t="s">
        <v>622</v>
      </c>
      <c r="D6" s="15"/>
      <c r="E6" s="15"/>
      <c r="F6" s="327" t="e">
        <f t="shared" ref="F6:AI6" si="1">IF(F5&gt;zq,0,SUM(F7:F9))</f>
        <v>#REF!</v>
      </c>
      <c r="G6" s="327" t="e">
        <f t="shared" si="1"/>
        <v>#REF!</v>
      </c>
      <c r="H6" s="327" t="e">
        <f t="shared" si="1"/>
        <v>#REF!</v>
      </c>
      <c r="I6" s="327" t="e">
        <f t="shared" si="1"/>
        <v>#REF!</v>
      </c>
      <c r="J6" s="327" t="e">
        <f t="shared" si="1"/>
        <v>#REF!</v>
      </c>
      <c r="K6" s="327" t="e">
        <f t="shared" si="1"/>
        <v>#REF!</v>
      </c>
      <c r="L6" s="327" t="e">
        <f t="shared" si="1"/>
        <v>#REF!</v>
      </c>
      <c r="M6" s="327" t="e">
        <f t="shared" si="1"/>
        <v>#REF!</v>
      </c>
      <c r="N6" s="327" t="e">
        <f t="shared" si="1"/>
        <v>#REF!</v>
      </c>
      <c r="O6" s="327" t="e">
        <f t="shared" si="1"/>
        <v>#REF!</v>
      </c>
      <c r="P6" s="327" t="e">
        <f t="shared" si="1"/>
        <v>#REF!</v>
      </c>
      <c r="Q6" s="327" t="e">
        <f t="shared" si="1"/>
        <v>#REF!</v>
      </c>
      <c r="R6" s="327" t="e">
        <f t="shared" si="1"/>
        <v>#REF!</v>
      </c>
      <c r="S6" s="327" t="e">
        <f t="shared" si="1"/>
        <v>#REF!</v>
      </c>
      <c r="T6" s="327" t="e">
        <f t="shared" si="1"/>
        <v>#REF!</v>
      </c>
      <c r="U6" s="327" t="e">
        <f t="shared" si="1"/>
        <v>#REF!</v>
      </c>
      <c r="V6" s="327" t="e">
        <f t="shared" si="1"/>
        <v>#REF!</v>
      </c>
      <c r="W6" s="327" t="e">
        <f t="shared" si="1"/>
        <v>#REF!</v>
      </c>
      <c r="X6" s="327" t="e">
        <f t="shared" si="1"/>
        <v>#REF!</v>
      </c>
      <c r="Y6" s="327" t="e">
        <f t="shared" si="1"/>
        <v>#REF!</v>
      </c>
      <c r="Z6" s="327" t="e">
        <f t="shared" si="1"/>
        <v>#REF!</v>
      </c>
      <c r="AA6" s="327" t="e">
        <f t="shared" si="1"/>
        <v>#REF!</v>
      </c>
      <c r="AB6" s="327" t="e">
        <f t="shared" si="1"/>
        <v>#REF!</v>
      </c>
      <c r="AC6" s="327" t="e">
        <f t="shared" si="1"/>
        <v>#REF!</v>
      </c>
      <c r="AD6" s="327" t="e">
        <f t="shared" si="1"/>
        <v>#REF!</v>
      </c>
      <c r="AE6" s="327">
        <f t="shared" si="1"/>
        <v>0</v>
      </c>
      <c r="AF6" s="327">
        <f t="shared" si="1"/>
        <v>0</v>
      </c>
      <c r="AG6" s="327">
        <f t="shared" si="1"/>
        <v>0</v>
      </c>
      <c r="AH6" s="327">
        <f t="shared" si="1"/>
        <v>0</v>
      </c>
      <c r="AI6" s="327">
        <f t="shared" si="1"/>
        <v>0</v>
      </c>
    </row>
    <row r="7" ht="15" customHeight="true" spans="2:35">
      <c r="B7" s="191">
        <v>1.1</v>
      </c>
      <c r="C7" s="15" t="s">
        <v>623</v>
      </c>
      <c r="D7" s="15">
        <f t="shared" ref="D7:D9" si="2">360/E7</f>
        <v>60</v>
      </c>
      <c r="E7" s="15">
        <v>6</v>
      </c>
      <c r="F7" s="327" t="e">
        <f>IF(F5&gt;zq,0,年成本分析!D25/$E$7)</f>
        <v>#REF!</v>
      </c>
      <c r="G7" s="327" t="e">
        <f>IF(G5&gt;zq,0,年成本分析!E25/$E$7)</f>
        <v>#REF!</v>
      </c>
      <c r="H7" s="327" t="e">
        <f>IF(H5&gt;zq,0,年成本分析!F25/$E$7)</f>
        <v>#REF!</v>
      </c>
      <c r="I7" s="327" t="e">
        <f>IF(I5&gt;zq,0,年成本分析!G25/$E$7)</f>
        <v>#REF!</v>
      </c>
      <c r="J7" s="327" t="e">
        <f>IF(J5&gt;zq,0,年成本分析!H25/$E$7)</f>
        <v>#REF!</v>
      </c>
      <c r="K7" s="327" t="e">
        <f>IF(K5&gt;zq,0,年成本分析!I25/$E$7)</f>
        <v>#REF!</v>
      </c>
      <c r="L7" s="327" t="e">
        <f>IF(L5&gt;zq,0,年成本分析!J25/$E$7)</f>
        <v>#REF!</v>
      </c>
      <c r="M7" s="327" t="e">
        <f>IF(M5&gt;zq,0,年成本分析!K25/$E$7)</f>
        <v>#REF!</v>
      </c>
      <c r="N7" s="327" t="e">
        <f>IF(N5&gt;zq,0,年成本分析!L25/$E$7)</f>
        <v>#REF!</v>
      </c>
      <c r="O7" s="327" t="e">
        <f>IF(O5&gt;zq,0,年成本分析!M25/$E$7)</f>
        <v>#REF!</v>
      </c>
      <c r="P7" s="327" t="e">
        <f>IF(P5&gt;zq,0,年成本分析!N25/$E$7)</f>
        <v>#REF!</v>
      </c>
      <c r="Q7" s="327" t="e">
        <f>IF(Q5&gt;zq,0,年成本分析!O25/$E$7)</f>
        <v>#REF!</v>
      </c>
      <c r="R7" s="327" t="e">
        <f>IF(R5&gt;zq,0,年成本分析!P25/$E$7)</f>
        <v>#REF!</v>
      </c>
      <c r="S7" s="327" t="e">
        <f>IF(S5&gt;zq,0,年成本分析!Q25/$E$7)</f>
        <v>#REF!</v>
      </c>
      <c r="T7" s="327" t="e">
        <f>IF(T5&gt;zq,0,年成本分析!R25/$E$7)</f>
        <v>#REF!</v>
      </c>
      <c r="U7" s="327" t="e">
        <f>IF(U5&gt;zq,0,年成本分析!S25/$E$7)</f>
        <v>#REF!</v>
      </c>
      <c r="V7" s="327" t="e">
        <f>IF(V5&gt;zq,0,年成本分析!T25/$E$7)</f>
        <v>#REF!</v>
      </c>
      <c r="W7" s="327" t="e">
        <f>IF(W5&gt;zq,0,年成本分析!U25/$E$7)</f>
        <v>#REF!</v>
      </c>
      <c r="X7" s="327" t="e">
        <f>IF(X5&gt;zq,0,年成本分析!V25/$E$7)</f>
        <v>#REF!</v>
      </c>
      <c r="Y7" s="327" t="e">
        <f>IF(Y5&gt;zq,0,年成本分析!W25/$E$7)</f>
        <v>#REF!</v>
      </c>
      <c r="Z7" s="327" t="e">
        <f>IF(Z5&gt;zq,0,年成本分析!X25/$E$7)</f>
        <v>#REF!</v>
      </c>
      <c r="AA7" s="327" t="e">
        <f>IF(AA5&gt;zq,0,年成本分析!Y25/$E$7)</f>
        <v>#REF!</v>
      </c>
      <c r="AB7" s="327" t="e">
        <f>IF(AB5&gt;zq,0,年成本分析!Z25/$E$7)</f>
        <v>#REF!</v>
      </c>
      <c r="AC7" s="327" t="e">
        <f>IF(AC5&gt;zq,0,年成本分析!AA25/$E$7)</f>
        <v>#REF!</v>
      </c>
      <c r="AD7" s="327" t="e">
        <f>IF(AD5&gt;zq,0,年成本分析!AB25/$E$7)</f>
        <v>#REF!</v>
      </c>
      <c r="AE7" s="327">
        <f>IF(AE5&gt;zq,0,年成本分析!AC25/$E$7)</f>
        <v>0</v>
      </c>
      <c r="AF7" s="327">
        <f>IF(AF5&gt;zq,0,年成本分析!AD25/$E$7)</f>
        <v>0</v>
      </c>
      <c r="AG7" s="327">
        <f>IF(AG5&gt;zq,0,年成本分析!AE25/$E$7)</f>
        <v>0</v>
      </c>
      <c r="AH7" s="327">
        <f>IF(AH5&gt;zq,0,年成本分析!AF25/$E$7)</f>
        <v>0</v>
      </c>
      <c r="AI7" s="327">
        <f>IF(AI5&gt;zq,0,年成本分析!AG25/$E$7)</f>
        <v>0</v>
      </c>
    </row>
    <row r="8" ht="15" customHeight="true" spans="2:35">
      <c r="B8" s="191">
        <v>1.2</v>
      </c>
      <c r="C8" s="15" t="s">
        <v>624</v>
      </c>
      <c r="D8" s="15">
        <f t="shared" si="2"/>
        <v>120</v>
      </c>
      <c r="E8" s="15">
        <v>3</v>
      </c>
      <c r="F8" s="328">
        <f>IF(F5&gt;zq,0,年成本分析!D9/$E$8)</f>
        <v>0.502656</v>
      </c>
      <c r="G8" s="328">
        <f>IF(G5&gt;zq,0,年成本分析!E9/$E$8)</f>
        <v>0.565488</v>
      </c>
      <c r="H8" s="328">
        <f>IF(H5&gt;zq,0,年成本分析!F9/$E$8)</f>
        <v>0.62832</v>
      </c>
      <c r="I8" s="328">
        <f>IF(I5&gt;zq,0,年成本分析!G9/$E$8)</f>
        <v>0.62832</v>
      </c>
      <c r="J8" s="328">
        <f>IF(J5&gt;zq,0,年成本分析!H9/$E$8)</f>
        <v>0.62832</v>
      </c>
      <c r="K8" s="328">
        <f>IF(K5&gt;zq,0,年成本分析!I9/$E$8)</f>
        <v>0.62832</v>
      </c>
      <c r="L8" s="328">
        <f>IF(L5&gt;zq,0,年成本分析!J9/$E$8)</f>
        <v>0.62832</v>
      </c>
      <c r="M8" s="328">
        <f>IF(M5&gt;zq,0,年成本分析!K9/$E$8)</f>
        <v>0.62832</v>
      </c>
      <c r="N8" s="328">
        <f>IF(N5&gt;zq,0,年成本分析!L9/$E$8)</f>
        <v>0.62832</v>
      </c>
      <c r="O8" s="328">
        <f>IF(O5&gt;zq,0,年成本分析!M9/$E$8)</f>
        <v>0.62832</v>
      </c>
      <c r="P8" s="328">
        <f>IF(P5&gt;zq,0,年成本分析!N9/$E$8)</f>
        <v>0.62832</v>
      </c>
      <c r="Q8" s="328">
        <f>IF(Q5&gt;zq,0,年成本分析!O9/$E$8)</f>
        <v>0.62832</v>
      </c>
      <c r="R8" s="328">
        <f>IF(R5&gt;zq,0,年成本分析!P9/$E$8)</f>
        <v>0.62832</v>
      </c>
      <c r="S8" s="328">
        <f>IF(S5&gt;zq,0,年成本分析!Q9/$E$8)</f>
        <v>0.62832</v>
      </c>
      <c r="T8" s="328">
        <f>IF(T5&gt;zq,0,年成本分析!R9/$E$8)</f>
        <v>0.62832</v>
      </c>
      <c r="U8" s="328">
        <f>IF(U5&gt;zq,0,年成本分析!S9/$E$8)</f>
        <v>0.62832</v>
      </c>
      <c r="V8" s="328">
        <f>IF(V5&gt;zq,0,年成本分析!T9/$E$8)</f>
        <v>0.62832</v>
      </c>
      <c r="W8" s="328">
        <f>IF(W5&gt;zq,0,年成本分析!U9/$E$8)</f>
        <v>0.62832</v>
      </c>
      <c r="X8" s="328">
        <f>IF(X5&gt;zq,0,年成本分析!V9/$E$8)</f>
        <v>0.62832</v>
      </c>
      <c r="Y8" s="328">
        <f>IF(Y5&gt;zq,0,年成本分析!W9/$E$8)</f>
        <v>0.62832</v>
      </c>
      <c r="Z8" s="328">
        <f>IF(Z5&gt;zq,0,年成本分析!X9/$E$8)</f>
        <v>0.62832</v>
      </c>
      <c r="AA8" s="328">
        <f>IF(AA5&gt;zq,0,年成本分析!Y9/$E$8)</f>
        <v>0.62832</v>
      </c>
      <c r="AB8" s="328">
        <f>IF(AB5&gt;zq,0,年成本分析!Z9/$E$8)</f>
        <v>0.62832</v>
      </c>
      <c r="AC8" s="328">
        <f>IF(AC5&gt;zq,0,年成本分析!AA9/$E$8)</f>
        <v>0.62832</v>
      </c>
      <c r="AD8" s="328">
        <f>IF(AD5&gt;zq,0,年成本分析!AB9/$E$8)</f>
        <v>0.62832</v>
      </c>
      <c r="AE8" s="328">
        <f>IF(AE5&gt;zq,0,年成本分析!AC9/$E$8)</f>
        <v>0</v>
      </c>
      <c r="AF8" s="328">
        <f>IF(AF5&gt;zq,0,年成本分析!AD9/$E$8)</f>
        <v>0</v>
      </c>
      <c r="AG8" s="328">
        <f>IF(AG5&gt;zq,0,年成本分析!AE9/$E$8)</f>
        <v>0</v>
      </c>
      <c r="AH8" s="328">
        <f>IF(AH5&gt;zq,0,年成本分析!AF9/$E$8)</f>
        <v>0</v>
      </c>
      <c r="AI8" s="328">
        <f>IF(AI5&gt;zq,0,年成本分析!AG9/$E$8)</f>
        <v>0</v>
      </c>
    </row>
    <row r="9" ht="15" customHeight="true" spans="2:35">
      <c r="B9" s="191">
        <v>1.3</v>
      </c>
      <c r="C9" s="15" t="s">
        <v>625</v>
      </c>
      <c r="D9" s="15">
        <f t="shared" si="2"/>
        <v>45</v>
      </c>
      <c r="E9" s="15">
        <v>8</v>
      </c>
      <c r="F9" s="328" t="e">
        <f>IF(F5&gt;zq,0,(年成本分析!D10+年成本分析!D16+年成本分析!D17)/$E$9)</f>
        <v>#REF!</v>
      </c>
      <c r="G9" s="328" t="e">
        <f>IF(G5&gt;zq,0,(年成本分析!E10+年成本分析!E16+年成本分析!E17)/$E$9)</f>
        <v>#REF!</v>
      </c>
      <c r="H9" s="328" t="e">
        <f>IF(H5&gt;zq,0,(年成本分析!F10+年成本分析!F16+年成本分析!F17)/$E$9)</f>
        <v>#REF!</v>
      </c>
      <c r="I9" s="328" t="e">
        <f>IF(I5&gt;zq,0,(年成本分析!G10+年成本分析!G16+年成本分析!G17)/$E$9)</f>
        <v>#REF!</v>
      </c>
      <c r="J9" s="328" t="e">
        <f>IF(J5&gt;zq,0,(年成本分析!H10+年成本分析!H16+年成本分析!H17)/$E$9)</f>
        <v>#REF!</v>
      </c>
      <c r="K9" s="328" t="e">
        <f>IF(K5&gt;zq,0,(年成本分析!I10+年成本分析!I16+年成本分析!I17)/$E$9)</f>
        <v>#REF!</v>
      </c>
      <c r="L9" s="328" t="e">
        <f>IF(L5&gt;zq,0,(年成本分析!J10+年成本分析!J16+年成本分析!J17)/$E$9)</f>
        <v>#REF!</v>
      </c>
      <c r="M9" s="328" t="e">
        <f>IF(M5&gt;zq,0,(年成本分析!K10+年成本分析!K16+年成本分析!K17)/$E$9)</f>
        <v>#REF!</v>
      </c>
      <c r="N9" s="328" t="e">
        <f>IF(N5&gt;zq,0,(年成本分析!L10+年成本分析!L16+年成本分析!L17)/$E$9)</f>
        <v>#REF!</v>
      </c>
      <c r="O9" s="328" t="e">
        <f>IF(O5&gt;zq,0,(年成本分析!M10+年成本分析!M16+年成本分析!M17)/$E$9)</f>
        <v>#REF!</v>
      </c>
      <c r="P9" s="328" t="e">
        <f>IF(P5&gt;zq,0,(年成本分析!N10+年成本分析!N16+年成本分析!N17)/$E$9)</f>
        <v>#REF!</v>
      </c>
      <c r="Q9" s="328" t="e">
        <f>IF(Q5&gt;zq,0,(年成本分析!O10+年成本分析!O16+年成本分析!O17)/$E$9)</f>
        <v>#REF!</v>
      </c>
      <c r="R9" s="328" t="e">
        <f>IF(R5&gt;zq,0,(年成本分析!P10+年成本分析!P16+年成本分析!P17)/$E$9)</f>
        <v>#REF!</v>
      </c>
      <c r="S9" s="328" t="e">
        <f>IF(S5&gt;zq,0,(年成本分析!Q10+年成本分析!Q16+年成本分析!Q17)/$E$9)</f>
        <v>#REF!</v>
      </c>
      <c r="T9" s="328" t="e">
        <f>IF(T5&gt;zq,0,(年成本分析!R10+年成本分析!R16+年成本分析!R17)/$E$9)</f>
        <v>#REF!</v>
      </c>
      <c r="U9" s="328" t="e">
        <f>IF(U5&gt;zq,0,(年成本分析!S10+年成本分析!S16+年成本分析!S17)/$E$9)</f>
        <v>#REF!</v>
      </c>
      <c r="V9" s="328" t="e">
        <f>IF(V5&gt;zq,0,(年成本分析!T10+年成本分析!T16+年成本分析!T17)/$E$9)</f>
        <v>#REF!</v>
      </c>
      <c r="W9" s="328" t="e">
        <f>IF(W5&gt;zq,0,(年成本分析!U10+年成本分析!U16+年成本分析!U17)/$E$9)</f>
        <v>#REF!</v>
      </c>
      <c r="X9" s="328" t="e">
        <f>IF(X5&gt;zq,0,(年成本分析!V10+年成本分析!V16+年成本分析!V17)/$E$9)</f>
        <v>#REF!</v>
      </c>
      <c r="Y9" s="328" t="e">
        <f>IF(Y5&gt;zq,0,(年成本分析!W10+年成本分析!W16+年成本分析!W17)/$E$9)</f>
        <v>#REF!</v>
      </c>
      <c r="Z9" s="328" t="e">
        <f>IF(Z5&gt;zq,0,(年成本分析!X10+年成本分析!X17)/$E$9)</f>
        <v>#REF!</v>
      </c>
      <c r="AA9" s="328" t="e">
        <f>IF(AA5&gt;zq,0,(年成本分析!Y10+年成本分析!Y17)/$E$9)</f>
        <v>#REF!</v>
      </c>
      <c r="AB9" s="328" t="e">
        <f>IF(AB5&gt;zq,0,(年成本分析!Z10+年成本分析!Z17)/$E$9)</f>
        <v>#REF!</v>
      </c>
      <c r="AC9" s="328" t="e">
        <f>IF(AC5&gt;zq,0,(年成本分析!AA10+年成本分析!AA17)/$E$9)</f>
        <v>#REF!</v>
      </c>
      <c r="AD9" s="328" t="e">
        <f>IF(AD5&gt;zq,0,(年成本分析!AB10+年成本分析!AB17)/$E$9)</f>
        <v>#REF!</v>
      </c>
      <c r="AE9" s="328">
        <f>IF(AE5&gt;zq,0,(年成本分析!AC10+年成本分析!AC17)/$E$9)</f>
        <v>0</v>
      </c>
      <c r="AF9" s="328">
        <f>IF(AF5&gt;zq,0,(年成本分析!AD10+年成本分析!AD17)/$E$9)</f>
        <v>0</v>
      </c>
      <c r="AG9" s="328">
        <f>IF(AG5&gt;zq,0,(年成本分析!AE10+年成本分析!AE17)/$E$9)</f>
        <v>0</v>
      </c>
      <c r="AH9" s="328">
        <f>IF(AH5&gt;zq,0,(年成本分析!AF10+年成本分析!AF17)/$E$9)</f>
        <v>0</v>
      </c>
      <c r="AI9" s="328">
        <f>IF(AI5&gt;zq,0,(年成本分析!AG10+年成本分析!AG17)/$E$9)</f>
        <v>0</v>
      </c>
    </row>
    <row r="10" ht="15" customHeight="true" spans="2:35">
      <c r="B10" s="239">
        <v>2</v>
      </c>
      <c r="C10" s="14" t="s">
        <v>626</v>
      </c>
      <c r="D10" s="15"/>
      <c r="E10" s="15"/>
      <c r="F10" s="328">
        <f t="shared" ref="F10:AI10" si="3">IF(F5&gt;zq,0,F11)</f>
        <v>75.079422408</v>
      </c>
      <c r="G10" s="328">
        <f t="shared" si="3"/>
        <v>84.464350209</v>
      </c>
      <c r="H10" s="328">
        <f t="shared" si="3"/>
        <v>93.84927801</v>
      </c>
      <c r="I10" s="328">
        <f t="shared" si="3"/>
        <v>93.84927801</v>
      </c>
      <c r="J10" s="328">
        <f t="shared" si="3"/>
        <v>93.84927801</v>
      </c>
      <c r="K10" s="328">
        <f t="shared" si="3"/>
        <v>93.84927801</v>
      </c>
      <c r="L10" s="328">
        <f t="shared" si="3"/>
        <v>93.84927801</v>
      </c>
      <c r="M10" s="328">
        <f t="shared" si="3"/>
        <v>93.84927801</v>
      </c>
      <c r="N10" s="328">
        <f t="shared" si="3"/>
        <v>93.84927801</v>
      </c>
      <c r="O10" s="328">
        <f t="shared" si="3"/>
        <v>93.84927801</v>
      </c>
      <c r="P10" s="328">
        <f t="shared" si="3"/>
        <v>93.84927801</v>
      </c>
      <c r="Q10" s="328">
        <f t="shared" si="3"/>
        <v>93.84927801</v>
      </c>
      <c r="R10" s="328">
        <f t="shared" si="3"/>
        <v>93.84927801</v>
      </c>
      <c r="S10" s="328">
        <f t="shared" si="3"/>
        <v>93.84927801</v>
      </c>
      <c r="T10" s="328">
        <f t="shared" si="3"/>
        <v>93.84927801</v>
      </c>
      <c r="U10" s="328">
        <f t="shared" si="3"/>
        <v>93.84927801</v>
      </c>
      <c r="V10" s="328">
        <f t="shared" si="3"/>
        <v>93.84927801</v>
      </c>
      <c r="W10" s="328">
        <f t="shared" si="3"/>
        <v>93.84927801</v>
      </c>
      <c r="X10" s="328">
        <f t="shared" si="3"/>
        <v>93.84927801</v>
      </c>
      <c r="Y10" s="328">
        <f t="shared" si="3"/>
        <v>93.84927801</v>
      </c>
      <c r="Z10" s="328">
        <f t="shared" si="3"/>
        <v>93.84927801</v>
      </c>
      <c r="AA10" s="328">
        <f t="shared" si="3"/>
        <v>93.84927801</v>
      </c>
      <c r="AB10" s="328">
        <f t="shared" si="3"/>
        <v>93.84927801</v>
      </c>
      <c r="AC10" s="328">
        <f t="shared" si="3"/>
        <v>93.84927801</v>
      </c>
      <c r="AD10" s="328">
        <f t="shared" si="3"/>
        <v>93.84927801</v>
      </c>
      <c r="AE10" s="328">
        <f t="shared" si="3"/>
        <v>0</v>
      </c>
      <c r="AF10" s="328">
        <f t="shared" si="3"/>
        <v>0</v>
      </c>
      <c r="AG10" s="328">
        <f t="shared" si="3"/>
        <v>0</v>
      </c>
      <c r="AH10" s="328">
        <f t="shared" si="3"/>
        <v>0</v>
      </c>
      <c r="AI10" s="328">
        <f t="shared" si="3"/>
        <v>0</v>
      </c>
    </row>
    <row r="11" ht="15" customHeight="true" spans="2:35">
      <c r="B11" s="191">
        <v>2.1</v>
      </c>
      <c r="C11" s="15" t="s">
        <v>627</v>
      </c>
      <c r="D11" s="15">
        <f>360/E11</f>
        <v>60</v>
      </c>
      <c r="E11" s="15">
        <v>6</v>
      </c>
      <c r="F11" s="327">
        <f>IF(F5&gt;zq,0,(年成本分析!D6+年成本分析!D9+年成本分析!D8)/$E$11)</f>
        <v>75.079422408</v>
      </c>
      <c r="G11" s="327">
        <f>IF(G5&gt;zq,0,(年成本分析!E6+年成本分析!E9+年成本分析!E8)/$E$11)</f>
        <v>84.464350209</v>
      </c>
      <c r="H11" s="327">
        <f>IF(H5&gt;zq,0,(年成本分析!F6+年成本分析!F9+年成本分析!F8)/$E$11)</f>
        <v>93.84927801</v>
      </c>
      <c r="I11" s="327">
        <f>IF(I5&gt;zq,0,(年成本分析!G6+年成本分析!G9+年成本分析!G8)/$E$11)</f>
        <v>93.84927801</v>
      </c>
      <c r="J11" s="327">
        <f>IF(J5&gt;zq,0,(年成本分析!H6+年成本分析!H9+年成本分析!H8)/$E$11)</f>
        <v>93.84927801</v>
      </c>
      <c r="K11" s="327">
        <f>IF(K5&gt;zq,0,(年成本分析!I6+年成本分析!I9+年成本分析!I8)/$E$11)</f>
        <v>93.84927801</v>
      </c>
      <c r="L11" s="327">
        <f>IF(L5&gt;zq,0,(年成本分析!J6+年成本分析!J9+年成本分析!J8)/$E$11)</f>
        <v>93.84927801</v>
      </c>
      <c r="M11" s="327">
        <f>IF(M5&gt;zq,0,(年成本分析!K6+年成本分析!K9+年成本分析!K8)/$E$11)</f>
        <v>93.84927801</v>
      </c>
      <c r="N11" s="327">
        <f>IF(N5&gt;zq,0,(年成本分析!L6+年成本分析!L9+年成本分析!L8)/$E$11)</f>
        <v>93.84927801</v>
      </c>
      <c r="O11" s="327">
        <f>IF(O5&gt;zq,0,(年成本分析!M6+年成本分析!M9+年成本分析!M8)/$E$11)</f>
        <v>93.84927801</v>
      </c>
      <c r="P11" s="327">
        <f>IF(P5&gt;zq,0,(年成本分析!N6+年成本分析!N9+年成本分析!N8)/$E$11)</f>
        <v>93.84927801</v>
      </c>
      <c r="Q11" s="327">
        <f>IF(Q5&gt;zq,0,(年成本分析!O6+年成本分析!O9+年成本分析!O8)/$E$11)</f>
        <v>93.84927801</v>
      </c>
      <c r="R11" s="327">
        <f>IF(R5&gt;zq,0,(年成本分析!P6+年成本分析!P9+年成本分析!P8)/$E$11)</f>
        <v>93.84927801</v>
      </c>
      <c r="S11" s="327">
        <f>IF(S5&gt;zq,0,(年成本分析!Q6+年成本分析!Q9+年成本分析!Q8)/$E$11)</f>
        <v>93.84927801</v>
      </c>
      <c r="T11" s="327">
        <f>IF(T5&gt;zq,0,(年成本分析!R6+年成本分析!R9+年成本分析!R8)/$E$11)</f>
        <v>93.84927801</v>
      </c>
      <c r="U11" s="327">
        <f>IF(U5&gt;zq,0,(年成本分析!S6+年成本分析!S9+年成本分析!S8)/$E$11)</f>
        <v>93.84927801</v>
      </c>
      <c r="V11" s="327">
        <f>IF(V5&gt;zq,0,(年成本分析!T6+年成本分析!T9+年成本分析!T8)/$E$11)</f>
        <v>93.84927801</v>
      </c>
      <c r="W11" s="327">
        <f>IF(W5&gt;zq,0,(年成本分析!U6+年成本分析!U9+年成本分析!U8)/$E$11)</f>
        <v>93.84927801</v>
      </c>
      <c r="X11" s="327">
        <f>IF(X5&gt;zq,0,(年成本分析!V6+年成本分析!V9+年成本分析!V8)/$E$11)</f>
        <v>93.84927801</v>
      </c>
      <c r="Y11" s="327">
        <f>IF(Y5&gt;zq,0,(年成本分析!W6+年成本分析!W9+年成本分析!W8)/$E$11)</f>
        <v>93.84927801</v>
      </c>
      <c r="Z11" s="327">
        <f>IF(Z5&gt;zq,0,(年成本分析!X6+年成本分析!X9+年成本分析!X8)/$E$11)</f>
        <v>93.84927801</v>
      </c>
      <c r="AA11" s="327">
        <f>IF(AA5&gt;zq,0,(年成本分析!Y6+年成本分析!Y9+年成本分析!Y8)/$E$11)</f>
        <v>93.84927801</v>
      </c>
      <c r="AB11" s="327">
        <f>IF(AB5&gt;zq,0,(年成本分析!Z6+年成本分析!Z9+年成本分析!Z8)/$E$11)</f>
        <v>93.84927801</v>
      </c>
      <c r="AC11" s="327">
        <f>IF(AC5&gt;zq,0,(年成本分析!AA6+年成本分析!AA9+年成本分析!AA8)/$E$11)</f>
        <v>93.84927801</v>
      </c>
      <c r="AD11" s="327">
        <f>IF(AD5&gt;zq,0,(年成本分析!AB6+年成本分析!AB9+年成本分析!AB8)/$E$11)</f>
        <v>93.84927801</v>
      </c>
      <c r="AE11" s="327">
        <f>IF(AE5&gt;zq,0,(年成本分析!AC6+年成本分析!AC9+年成本分析!AC13+年成本分析!AC16)/$E$11)</f>
        <v>0</v>
      </c>
      <c r="AF11" s="327">
        <f>IF(AF5&gt;zq,0,(年成本分析!AD6+年成本分析!AD9+年成本分析!AD13+年成本分析!AD16)/$E$11)</f>
        <v>0</v>
      </c>
      <c r="AG11" s="327">
        <f>IF(AG5&gt;zq,0,(年成本分析!AE6+年成本分析!AE9+年成本分析!AE13+年成本分析!AE16)/$E$11)</f>
        <v>0</v>
      </c>
      <c r="AH11" s="327">
        <f>IF(AH5&gt;zq,0,(年成本分析!AF6+年成本分析!AF9+年成本分析!AF13+年成本分析!AF16)/$E$11)</f>
        <v>0</v>
      </c>
      <c r="AI11" s="327">
        <f>IF(AI5&gt;zq,0,(年成本分析!AG6+年成本分析!AG9+年成本分析!AG13+年成本分析!AG16)/$E$11)</f>
        <v>0</v>
      </c>
    </row>
    <row r="12" ht="15" customHeight="true" spans="2:35">
      <c r="B12" s="239">
        <v>3</v>
      </c>
      <c r="C12" s="14" t="s">
        <v>612</v>
      </c>
      <c r="D12" s="17"/>
      <c r="E12" s="17"/>
      <c r="F12" s="327" t="e">
        <f t="shared" ref="F12:AI12" si="4">IF(F5&gt;zq,0,F6-F10)</f>
        <v>#REF!</v>
      </c>
      <c r="G12" s="327" t="e">
        <f t="shared" si="4"/>
        <v>#REF!</v>
      </c>
      <c r="H12" s="327" t="e">
        <f t="shared" si="4"/>
        <v>#REF!</v>
      </c>
      <c r="I12" s="327" t="e">
        <f t="shared" si="4"/>
        <v>#REF!</v>
      </c>
      <c r="J12" s="327" t="e">
        <f t="shared" si="4"/>
        <v>#REF!</v>
      </c>
      <c r="K12" s="327" t="e">
        <f t="shared" si="4"/>
        <v>#REF!</v>
      </c>
      <c r="L12" s="327" t="e">
        <f t="shared" si="4"/>
        <v>#REF!</v>
      </c>
      <c r="M12" s="327" t="e">
        <f t="shared" si="4"/>
        <v>#REF!</v>
      </c>
      <c r="N12" s="327" t="e">
        <f t="shared" si="4"/>
        <v>#REF!</v>
      </c>
      <c r="O12" s="327" t="e">
        <f t="shared" si="4"/>
        <v>#REF!</v>
      </c>
      <c r="P12" s="327" t="e">
        <f t="shared" si="4"/>
        <v>#REF!</v>
      </c>
      <c r="Q12" s="327" t="e">
        <f t="shared" si="4"/>
        <v>#REF!</v>
      </c>
      <c r="R12" s="327" t="e">
        <f t="shared" si="4"/>
        <v>#REF!</v>
      </c>
      <c r="S12" s="327" t="e">
        <f t="shared" si="4"/>
        <v>#REF!</v>
      </c>
      <c r="T12" s="327" t="e">
        <f t="shared" si="4"/>
        <v>#REF!</v>
      </c>
      <c r="U12" s="327" t="e">
        <f t="shared" si="4"/>
        <v>#REF!</v>
      </c>
      <c r="V12" s="327" t="e">
        <f t="shared" si="4"/>
        <v>#REF!</v>
      </c>
      <c r="W12" s="327" t="e">
        <f t="shared" si="4"/>
        <v>#REF!</v>
      </c>
      <c r="X12" s="327" t="e">
        <f t="shared" si="4"/>
        <v>#REF!</v>
      </c>
      <c r="Y12" s="327" t="e">
        <f t="shared" si="4"/>
        <v>#REF!</v>
      </c>
      <c r="Z12" s="327" t="e">
        <f t="shared" si="4"/>
        <v>#REF!</v>
      </c>
      <c r="AA12" s="327" t="e">
        <f t="shared" si="4"/>
        <v>#REF!</v>
      </c>
      <c r="AB12" s="327" t="e">
        <f t="shared" si="4"/>
        <v>#REF!</v>
      </c>
      <c r="AC12" s="327" t="e">
        <f t="shared" si="4"/>
        <v>#REF!</v>
      </c>
      <c r="AD12" s="327" t="e">
        <f t="shared" si="4"/>
        <v>#REF!</v>
      </c>
      <c r="AE12" s="327">
        <f t="shared" si="4"/>
        <v>0</v>
      </c>
      <c r="AF12" s="327">
        <f t="shared" si="4"/>
        <v>0</v>
      </c>
      <c r="AG12" s="327">
        <f t="shared" si="4"/>
        <v>0</v>
      </c>
      <c r="AH12" s="327">
        <f t="shared" si="4"/>
        <v>0</v>
      </c>
      <c r="AI12" s="327">
        <f t="shared" si="4"/>
        <v>0</v>
      </c>
    </row>
    <row r="13" ht="15" customHeight="true" spans="2:38">
      <c r="B13" s="239">
        <v>4</v>
      </c>
      <c r="C13" s="14" t="s">
        <v>628</v>
      </c>
      <c r="D13" s="17"/>
      <c r="E13" s="17"/>
      <c r="F13" s="327" t="e">
        <f t="shared" ref="F13:X13" si="5">ROUND(IF(F5&gt;zq,0,F12-E12),2)</f>
        <v>#REF!</v>
      </c>
      <c r="G13" s="327" t="e">
        <f t="shared" si="5"/>
        <v>#REF!</v>
      </c>
      <c r="H13" s="327" t="e">
        <f t="shared" si="5"/>
        <v>#REF!</v>
      </c>
      <c r="I13" s="327" t="e">
        <f t="shared" si="5"/>
        <v>#REF!</v>
      </c>
      <c r="J13" s="327" t="e">
        <f t="shared" si="5"/>
        <v>#REF!</v>
      </c>
      <c r="K13" s="327" t="e">
        <f t="shared" si="5"/>
        <v>#REF!</v>
      </c>
      <c r="L13" s="327" t="e">
        <f t="shared" si="5"/>
        <v>#REF!</v>
      </c>
      <c r="M13" s="327" t="e">
        <f t="shared" si="5"/>
        <v>#REF!</v>
      </c>
      <c r="N13" s="327" t="e">
        <f t="shared" si="5"/>
        <v>#REF!</v>
      </c>
      <c r="O13" s="327" t="e">
        <f t="shared" si="5"/>
        <v>#REF!</v>
      </c>
      <c r="P13" s="327" t="e">
        <f t="shared" si="5"/>
        <v>#REF!</v>
      </c>
      <c r="Q13" s="327" t="e">
        <f t="shared" si="5"/>
        <v>#REF!</v>
      </c>
      <c r="R13" s="327" t="e">
        <f t="shared" si="5"/>
        <v>#REF!</v>
      </c>
      <c r="S13" s="327" t="e">
        <f t="shared" si="5"/>
        <v>#REF!</v>
      </c>
      <c r="T13" s="327" t="e">
        <f t="shared" si="5"/>
        <v>#REF!</v>
      </c>
      <c r="U13" s="327" t="e">
        <f t="shared" si="5"/>
        <v>#REF!</v>
      </c>
      <c r="V13" s="327" t="e">
        <f t="shared" si="5"/>
        <v>#REF!</v>
      </c>
      <c r="W13" s="327" t="e">
        <f t="shared" si="5"/>
        <v>#REF!</v>
      </c>
      <c r="X13" s="327" t="e">
        <f t="shared" si="5"/>
        <v>#REF!</v>
      </c>
      <c r="Y13" s="327" t="e">
        <f>IF(Y5&gt;zq,0,Y12-X12)</f>
        <v>#REF!</v>
      </c>
      <c r="Z13" s="327" t="e">
        <f>IF(Z5&gt;zq,0,Z12-Y12)</f>
        <v>#REF!</v>
      </c>
      <c r="AA13" s="327" t="e">
        <f>IF(AA5&gt;zq,0,AA12-Z12)</f>
        <v>#REF!</v>
      </c>
      <c r="AB13" s="327"/>
      <c r="AC13" s="327"/>
      <c r="AD13" s="327"/>
      <c r="AE13" s="327"/>
      <c r="AF13" s="327"/>
      <c r="AG13" s="327">
        <f>IF(AG5&gt;zq,0,AG12-AA12)</f>
        <v>0</v>
      </c>
      <c r="AH13" s="327">
        <f>IF(AH5&gt;zq,0,AH12-AG12)</f>
        <v>0</v>
      </c>
      <c r="AI13" s="327">
        <f>IF(AI5&gt;zq,0,AI12-AH12)</f>
        <v>0</v>
      </c>
      <c r="AK13" s="189"/>
      <c r="AL13" s="189"/>
    </row>
    <row r="14" ht="15" customHeight="true" spans="2:35">
      <c r="B14" s="19"/>
      <c r="C14" s="15"/>
      <c r="D14" s="17"/>
      <c r="E14" s="17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30"/>
      <c r="W14" s="330"/>
      <c r="X14" s="330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ht="15" customHeight="true" spans="2:36">
      <c r="B15" s="15"/>
      <c r="C15" s="19"/>
      <c r="D15" s="17"/>
      <c r="E15" s="1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30"/>
      <c r="W15" s="330"/>
      <c r="X15" s="330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36"/>
    </row>
    <row r="16" ht="15" customHeight="true" spans="2:35">
      <c r="B16" s="163"/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73"/>
      <c r="W16" s="173"/>
      <c r="X16" s="173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</row>
    <row r="17" ht="15" customHeight="true" spans="2:35">
      <c r="B17" s="163"/>
      <c r="C17" s="167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331"/>
      <c r="W17" s="331"/>
      <c r="X17" s="331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</row>
    <row r="18" ht="15" customHeight="true" spans="2:35">
      <c r="B18" s="163"/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331"/>
      <c r="W18" s="331"/>
      <c r="X18" s="331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</row>
    <row r="20" spans="6:35">
      <c r="F20" s="182" t="e">
        <f>F13*'总表 (2)'!$E$63</f>
        <v>#REF!</v>
      </c>
      <c r="G20" s="182" t="e">
        <f>G13*'总表 (2)'!$E$63</f>
        <v>#REF!</v>
      </c>
      <c r="H20" s="182" t="e">
        <f>H13*'总表 (2)'!$E$63</f>
        <v>#REF!</v>
      </c>
      <c r="I20" s="182" t="e">
        <f>I13*'总表 (2)'!$E$63</f>
        <v>#REF!</v>
      </c>
      <c r="J20" s="182" t="e">
        <f>J13*'总表 (2)'!$E$63</f>
        <v>#REF!</v>
      </c>
      <c r="K20" s="182" t="e">
        <f>K13*'总表 (2)'!$E$63</f>
        <v>#REF!</v>
      </c>
      <c r="L20" s="182" t="e">
        <f>L13*'总表 (2)'!$E$63</f>
        <v>#REF!</v>
      </c>
      <c r="M20" s="182" t="e">
        <f>M13*'总表 (2)'!$E$63</f>
        <v>#REF!</v>
      </c>
      <c r="N20" s="182" t="e">
        <f>N13*'总表 (2)'!$E$63</f>
        <v>#REF!</v>
      </c>
      <c r="O20" s="182" t="e">
        <f>O13*'总表 (2)'!$E$63</f>
        <v>#REF!</v>
      </c>
      <c r="P20" s="182" t="e">
        <f>P13*'总表 (2)'!$E$63</f>
        <v>#REF!</v>
      </c>
      <c r="Q20" s="182" t="e">
        <f>Q13*'总表 (2)'!$E$63</f>
        <v>#REF!</v>
      </c>
      <c r="R20" s="182" t="e">
        <f>R13*'总表 (2)'!$E$63</f>
        <v>#REF!</v>
      </c>
      <c r="S20" s="182" t="e">
        <f>S13*'总表 (2)'!$E$63</f>
        <v>#REF!</v>
      </c>
      <c r="T20" s="182" t="e">
        <f>T13*'总表 (2)'!$E$63</f>
        <v>#REF!</v>
      </c>
      <c r="U20" s="182" t="e">
        <f>U13*'总表 (2)'!$E$63</f>
        <v>#REF!</v>
      </c>
      <c r="V20" s="182" t="e">
        <f>V13*'总表 (2)'!$E$63</f>
        <v>#REF!</v>
      </c>
      <c r="W20" s="182" t="e">
        <f>W13*'总表 (2)'!$E$63</f>
        <v>#REF!</v>
      </c>
      <c r="X20" s="182" t="e">
        <f>X13*'总表 (2)'!$E$63</f>
        <v>#REF!</v>
      </c>
      <c r="Y20" s="182" t="e">
        <f>Y13*'总表 (2)'!$E$63</f>
        <v>#REF!</v>
      </c>
      <c r="Z20" s="182" t="e">
        <f t="shared" ref="Z20:AI20" si="6">Z13*0.3</f>
        <v>#REF!</v>
      </c>
      <c r="AA20" s="182" t="e">
        <f t="shared" si="6"/>
        <v>#REF!</v>
      </c>
      <c r="AB20" s="182">
        <f t="shared" si="6"/>
        <v>0</v>
      </c>
      <c r="AC20" s="182">
        <f t="shared" si="6"/>
        <v>0</v>
      </c>
      <c r="AD20" s="182">
        <f t="shared" si="6"/>
        <v>0</v>
      </c>
      <c r="AE20" s="182">
        <f t="shared" si="6"/>
        <v>0</v>
      </c>
      <c r="AF20" s="182">
        <f t="shared" si="6"/>
        <v>0</v>
      </c>
      <c r="AG20" s="182">
        <f t="shared" si="6"/>
        <v>0</v>
      </c>
      <c r="AH20" s="182">
        <f t="shared" si="6"/>
        <v>0</v>
      </c>
      <c r="AI20" s="182">
        <f t="shared" si="6"/>
        <v>0</v>
      </c>
    </row>
    <row r="21" spans="6:53">
      <c r="F21" s="182" t="e">
        <f t="shared" ref="F21:AI21" si="7">F13*0.7</f>
        <v>#REF!</v>
      </c>
      <c r="G21" s="182" t="e">
        <f t="shared" si="7"/>
        <v>#REF!</v>
      </c>
      <c r="H21" s="182" t="e">
        <f t="shared" si="7"/>
        <v>#REF!</v>
      </c>
      <c r="I21" s="182" t="e">
        <f t="shared" si="7"/>
        <v>#REF!</v>
      </c>
      <c r="J21" s="182" t="e">
        <f t="shared" si="7"/>
        <v>#REF!</v>
      </c>
      <c r="K21" s="182" t="e">
        <f t="shared" si="7"/>
        <v>#REF!</v>
      </c>
      <c r="L21" s="182" t="e">
        <f t="shared" si="7"/>
        <v>#REF!</v>
      </c>
      <c r="M21" s="182" t="e">
        <f t="shared" si="7"/>
        <v>#REF!</v>
      </c>
      <c r="N21" s="182" t="e">
        <f t="shared" si="7"/>
        <v>#REF!</v>
      </c>
      <c r="O21" s="182" t="e">
        <f t="shared" si="7"/>
        <v>#REF!</v>
      </c>
      <c r="P21" s="182" t="e">
        <f t="shared" si="7"/>
        <v>#REF!</v>
      </c>
      <c r="Q21" s="182" t="e">
        <f t="shared" si="7"/>
        <v>#REF!</v>
      </c>
      <c r="R21" s="182" t="e">
        <f t="shared" si="7"/>
        <v>#REF!</v>
      </c>
      <c r="S21" s="182" t="e">
        <f t="shared" si="7"/>
        <v>#REF!</v>
      </c>
      <c r="T21" s="182" t="e">
        <f t="shared" si="7"/>
        <v>#REF!</v>
      </c>
      <c r="U21" s="182" t="e">
        <f t="shared" si="7"/>
        <v>#REF!</v>
      </c>
      <c r="V21" s="182" t="e">
        <f t="shared" si="7"/>
        <v>#REF!</v>
      </c>
      <c r="W21" s="182" t="e">
        <f t="shared" si="7"/>
        <v>#REF!</v>
      </c>
      <c r="X21" s="182" t="e">
        <f t="shared" si="7"/>
        <v>#REF!</v>
      </c>
      <c r="Y21" s="182" t="e">
        <f t="shared" si="7"/>
        <v>#REF!</v>
      </c>
      <c r="Z21" s="182" t="e">
        <f t="shared" si="7"/>
        <v>#REF!</v>
      </c>
      <c r="AA21" s="182" t="e">
        <f t="shared" si="7"/>
        <v>#REF!</v>
      </c>
      <c r="AB21" s="182">
        <f t="shared" si="7"/>
        <v>0</v>
      </c>
      <c r="AC21" s="182">
        <f t="shared" si="7"/>
        <v>0</v>
      </c>
      <c r="AD21" s="182">
        <f t="shared" si="7"/>
        <v>0</v>
      </c>
      <c r="AE21" s="182">
        <f t="shared" si="7"/>
        <v>0</v>
      </c>
      <c r="AF21" s="182">
        <f t="shared" si="7"/>
        <v>0</v>
      </c>
      <c r="AG21" s="182">
        <f t="shared" si="7"/>
        <v>0</v>
      </c>
      <c r="AH21" s="182">
        <f t="shared" si="7"/>
        <v>0</v>
      </c>
      <c r="AI21" s="182">
        <f t="shared" si="7"/>
        <v>0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</row>
    <row r="22" spans="6:9">
      <c r="F22" s="36"/>
      <c r="I22" s="36"/>
    </row>
    <row r="23" spans="6:9">
      <c r="F23" s="36"/>
      <c r="H23" s="36"/>
      <c r="I23" s="36"/>
    </row>
    <row r="24" spans="6:9">
      <c r="F24" s="36"/>
      <c r="I24" s="36"/>
    </row>
  </sheetData>
  <mergeCells count="5">
    <mergeCell ref="B1:AH1"/>
    <mergeCell ref="B2:AI2"/>
    <mergeCell ref="F4:AI4"/>
    <mergeCell ref="D4:D5"/>
    <mergeCell ref="E4:E5"/>
  </mergeCells>
  <printOptions horizontalCentered="true"/>
  <pageMargins left="0.354330708661417" right="0.196850393700787" top="1.22047244094488" bottom="0.31496062992126" header="0.905511811023622" footer="0.236220472440945"/>
  <pageSetup paperSize="9" scale="71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总表</vt:lpstr>
      <vt:lpstr>上机测算</vt:lpstr>
      <vt:lpstr>智慧水务清单</vt:lpstr>
      <vt:lpstr>Sheet1</vt:lpstr>
      <vt:lpstr>总表 (2)</vt:lpstr>
      <vt:lpstr>利息</vt:lpstr>
      <vt:lpstr>药剂</vt:lpstr>
      <vt:lpstr>成本</vt:lpstr>
      <vt:lpstr>流动资金</vt:lpstr>
      <vt:lpstr>年成本分析</vt:lpstr>
      <vt:lpstr>现金流量</vt:lpstr>
      <vt:lpstr>资本金现金流量</vt:lpstr>
      <vt:lpstr>税金计算表</vt:lpstr>
      <vt:lpstr>固定资产</vt:lpstr>
      <vt:lpstr>其他资产</vt:lpstr>
      <vt:lpstr>损益表</vt:lpstr>
      <vt:lpstr>财务计划</vt:lpstr>
      <vt:lpstr>资产负债</vt:lpstr>
      <vt:lpstr>借款偿还</vt:lpstr>
      <vt:lpstr>财务收支状况</vt:lpstr>
      <vt:lpstr>财务指标</vt:lpstr>
      <vt:lpstr>敏感分析</vt:lpstr>
      <vt:lpstr>分年度投资用款计划</vt:lpstr>
      <vt:lpstr>资金来源运用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2006-09-16T08:00:00Z</dcterms:created>
  <cp:lastPrinted>2023-11-20T01:51:00Z</cp:lastPrinted>
  <dcterms:modified xsi:type="dcterms:W3CDTF">2023-12-11T08:13:05Z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C8E8B8423D2140E2A5A3409567DA6187</vt:lpwstr>
  </property>
  <property fmtid="{D5CDD505-2E9C-101B-9397-08002B2CF9AE}" pid="3" name="KSOProductBuildVer">
    <vt:lpwstr>2052-11.8.2.10125</vt:lpwstr>
  </property>
</Properties>
</file>