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<sst xmlns="http://schemas.openxmlformats.org/spreadsheetml/2006/main" count="136" uniqueCount="117">
  <si>
    <t>总 估 算 表</t>
  </si>
  <si>
    <t xml:space="preserve">  建设项目名称：2023年儋州市人居环境整治工程</t>
  </si>
  <si>
    <t>ye</t>
  </si>
  <si>
    <t>工程或费用名称</t>
  </si>
  <si>
    <t>估算金额(万元)</t>
  </si>
  <si>
    <t>可研报告投资金额（万元)</t>
  </si>
  <si>
    <t>评估报告投资金额（万元)</t>
  </si>
  <si>
    <t>核增减额金额（万元）</t>
  </si>
  <si>
    <t>技术经济指标</t>
  </si>
  <si>
    <t>备注</t>
  </si>
  <si>
    <t>建筑工程</t>
  </si>
  <si>
    <t>安装工程</t>
  </si>
  <si>
    <t>设备及工器具购置</t>
  </si>
  <si>
    <t>其他费用</t>
  </si>
  <si>
    <t>合计</t>
  </si>
  <si>
    <t>单位</t>
  </si>
  <si>
    <t>数量</t>
  </si>
  <si>
    <t>单位价值(元)</t>
  </si>
  <si>
    <t>一</t>
  </si>
  <si>
    <t>第一部分工程费用</t>
  </si>
  <si>
    <t>常住人口</t>
  </si>
  <si>
    <t>三都镇</t>
  </si>
  <si>
    <t>中和镇</t>
  </si>
  <si>
    <t>南丰镇</t>
  </si>
  <si>
    <t>白马井镇</t>
  </si>
  <si>
    <t>雅星镇</t>
  </si>
  <si>
    <t>大成镇</t>
  </si>
  <si>
    <t>光村镇</t>
  </si>
  <si>
    <t>东成镇</t>
  </si>
  <si>
    <t>和庆镇</t>
  </si>
  <si>
    <t>王五镇</t>
  </si>
  <si>
    <t>兰洋镇</t>
  </si>
  <si>
    <t>海头镇</t>
  </si>
  <si>
    <t>那大镇</t>
  </si>
  <si>
    <t>木棠镇</t>
  </si>
  <si>
    <t>峨蔓镇</t>
  </si>
  <si>
    <t>第一部分费用合计</t>
  </si>
  <si>
    <t>二</t>
  </si>
  <si>
    <t>第二部分工程建设其他费用</t>
  </si>
  <si>
    <t>建设单位管理费</t>
  </si>
  <si>
    <t>财建[2016]504号</t>
  </si>
  <si>
    <t>场地准备及临时设施费</t>
  </si>
  <si>
    <t>建安费*0.5%</t>
  </si>
  <si>
    <t>招标代理服务费</t>
  </si>
  <si>
    <t>琼价费管[2011]225号下浮20%</t>
  </si>
  <si>
    <t>勘察招标代理</t>
  </si>
  <si>
    <t>设计招标代理</t>
  </si>
  <si>
    <t>3.2.1</t>
  </si>
  <si>
    <t>初步设计招标代理</t>
  </si>
  <si>
    <t>3.2.2</t>
  </si>
  <si>
    <t>施工图设计招标代理</t>
  </si>
  <si>
    <t>施工监理招标代理</t>
  </si>
  <si>
    <t>施工招标代理</t>
  </si>
  <si>
    <t>工程保险费</t>
  </si>
  <si>
    <t>建安费*0.03%</t>
  </si>
  <si>
    <t>工程监理费</t>
  </si>
  <si>
    <t>发改价格[2007]670号下浮20%</t>
  </si>
  <si>
    <t>勘察费、测量费</t>
  </si>
  <si>
    <t>测量费</t>
  </si>
  <si>
    <t>测量面积8600公顷，计价格[2002]10号</t>
  </si>
  <si>
    <t>勘察费</t>
  </si>
  <si>
    <t>钻探约3.36万m，计价格[2002]10号</t>
  </si>
  <si>
    <t>建设项目前期工作咨询费</t>
  </si>
  <si>
    <t>计价格[1999]1283号下浮20%</t>
  </si>
  <si>
    <t>7.1</t>
  </si>
  <si>
    <t>编制项目建议书</t>
  </si>
  <si>
    <t>编制可行性研究报告</t>
  </si>
  <si>
    <t>建设项目环境影响咨询费</t>
  </si>
  <si>
    <t>不予计取</t>
  </si>
  <si>
    <t>设计费</t>
  </si>
  <si>
    <t>计价格[2002]10号下浮20%</t>
  </si>
  <si>
    <t>初步设计</t>
  </si>
  <si>
    <t>施工图设计</t>
  </si>
  <si>
    <t>施工图审查费</t>
  </si>
  <si>
    <t>琼价费管[2011]224号下浮20%</t>
  </si>
  <si>
    <t>水土保持方案编制费</t>
  </si>
  <si>
    <t>保监[2005]22号下浮20%</t>
  </si>
  <si>
    <t>水土保持监测费</t>
  </si>
  <si>
    <t>水土流失补偿费</t>
  </si>
  <si>
    <t>参考琼发改收费[2021]716号，征占用土地面积*1.5元/㎡ 暂估15万元</t>
  </si>
  <si>
    <t>水士保持设施竣工验收技术评估报告编制费</t>
  </si>
  <si>
    <t>地质灾害危险性评估费</t>
  </si>
  <si>
    <t>发改办价格[2006]745号</t>
  </si>
  <si>
    <t>工程造价咨询费</t>
  </si>
  <si>
    <t>琼价协[2020]01号下浮20%</t>
  </si>
  <si>
    <t>工量清单及招标控制价</t>
  </si>
  <si>
    <t>竣工结算</t>
  </si>
  <si>
    <t>施工全过程造价控制咨询费</t>
  </si>
  <si>
    <t>初步设计行业评审费</t>
  </si>
  <si>
    <t>参考计价格[1999]1283号</t>
  </si>
  <si>
    <t>竣工验收第三方质量检测费</t>
  </si>
  <si>
    <t>琼水建管{2017}398，建安费*0.5%</t>
  </si>
  <si>
    <t>征地及青苗补偿费</t>
  </si>
  <si>
    <t>亩</t>
  </si>
  <si>
    <t>参琼府[2014]36号 详见征地费用明细表</t>
  </si>
  <si>
    <t>环保验收费</t>
  </si>
  <si>
    <t>暂估</t>
  </si>
  <si>
    <t>设计监理费</t>
  </si>
  <si>
    <t>CCTV检测费</t>
  </si>
  <si>
    <t>m</t>
  </si>
  <si>
    <t>室外排水管道非开挖修复工程预算定额（2020）</t>
  </si>
  <si>
    <t>林地可行性报告编制费</t>
  </si>
  <si>
    <t>海南省规划设计计费指导意见</t>
  </si>
  <si>
    <t>第二部分费用合计</t>
  </si>
  <si>
    <t>第一、二部分费用合计</t>
  </si>
  <si>
    <t>三</t>
  </si>
  <si>
    <t>第三部分预备费用</t>
  </si>
  <si>
    <t>(一+二-拆迁补偿）*5%</t>
  </si>
  <si>
    <t xml:space="preserve">基本预备费  </t>
  </si>
  <si>
    <t>第一、二、三部分费用合计</t>
  </si>
  <si>
    <t>第四部分：建设期贷款利息</t>
  </si>
  <si>
    <t>建设期一年，暂不考虑</t>
  </si>
  <si>
    <t>第五部分：铺底流动资金</t>
  </si>
  <si>
    <t>元/镇</t>
  </si>
  <si>
    <t>四</t>
  </si>
  <si>
    <t>第四部分：工程总投资</t>
  </si>
  <si>
    <t>一+二+三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</si>
</sst>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0.00_ "/>
    <numFmt numFmtId="179" formatCode="0.0_);\(0.0\)"/>
    <numFmt numFmtId="180" formatCode="0.0;[Red]0.0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color indexed="8"/>
      <name val="Times New Roman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MS Sans Serif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sz val="12"/>
      <color rgb="FF00610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Times New Roman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37" fillId="9" borderId="0" applyNumberFormat="0" applyBorder="0" applyAlignment="0" applyProtection="0"/>
    <xf numFmtId="9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1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2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5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9" fillId="0" borderId="0">
      <alignment/>
      <protection/>
    </xf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0" fillId="30" borderId="0" applyNumberFormat="0" applyBorder="0" applyAlignment="0" applyProtection="0"/>
    <xf numFmtId="0" fontId="48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54" fillId="0" borderId="8" applyNumberFormat="0" applyFill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left" vertical="center"/>
      <protection/>
    </xf>
    <xf numFmtId="0" fontId="4" fillId="0" borderId="0" xfId="15" applyFont="1" applyAlignment="1">
      <alignment horizontal="left" vertical="center"/>
      <protection/>
    </xf>
    <xf numFmtId="0" fontId="4" fillId="0" borderId="0" xfId="15" applyFont="1" applyAlignment="1">
      <alignment horizontal="center" vertical="center"/>
      <protection/>
    </xf>
    <xf numFmtId="176" fontId="4" fillId="0" borderId="9" xfId="15" applyNumberFormat="1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left" vertical="center"/>
      <protection/>
    </xf>
    <xf numFmtId="0" fontId="4" fillId="0" borderId="9" xfId="15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15" applyFont="1" applyBorder="1" applyAlignment="1">
      <alignment horizontal="left" vertical="center" shrinkToFit="1"/>
      <protection/>
    </xf>
    <xf numFmtId="177" fontId="5" fillId="0" borderId="9" xfId="15" applyNumberFormat="1" applyFont="1" applyBorder="1" applyAlignment="1">
      <alignment horizontal="center" vertical="center" shrinkToFit="1"/>
      <protection/>
    </xf>
    <xf numFmtId="176" fontId="4" fillId="0" borderId="9" xfId="0" applyNumberFormat="1" applyFont="1" applyFill="1" applyBorder="1" applyAlignment="1">
      <alignment horizontal="center" vertical="center"/>
    </xf>
    <xf numFmtId="177" fontId="6" fillId="0" borderId="9" xfId="15" applyNumberFormat="1" applyFont="1" applyBorder="1" applyAlignment="1">
      <alignment horizontal="center" vertical="center" shrinkToFit="1"/>
      <protection/>
    </xf>
    <xf numFmtId="0" fontId="4" fillId="0" borderId="9" xfId="15" applyFont="1" applyBorder="1" applyAlignment="1">
      <alignment horizontal="left" vertical="center" shrinkToFit="1"/>
      <protection/>
    </xf>
    <xf numFmtId="178" fontId="7" fillId="0" borderId="9" xfId="15" applyNumberFormat="1" applyFont="1" applyBorder="1" applyAlignment="1">
      <alignment horizontal="center" vertical="center"/>
      <protection/>
    </xf>
    <xf numFmtId="2" fontId="8" fillId="0" borderId="9" xfId="16" applyNumberFormat="1" applyFont="1" applyBorder="1" applyAlignment="1">
      <alignment horizontal="center" vertical="center"/>
      <protection/>
    </xf>
    <xf numFmtId="0" fontId="3" fillId="0" borderId="9" xfId="15" applyFont="1" applyBorder="1" applyAlignment="1">
      <alignment horizontal="center" vertical="center"/>
      <protection/>
    </xf>
    <xf numFmtId="2" fontId="5" fillId="0" borderId="9" xfId="15" applyNumberFormat="1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left" vertical="center"/>
      <protection/>
    </xf>
    <xf numFmtId="177" fontId="9" fillId="0" borderId="9" xfId="15" applyNumberFormat="1" applyFont="1" applyBorder="1" applyAlignment="1">
      <alignment horizontal="center" vertical="center"/>
      <protection/>
    </xf>
    <xf numFmtId="177" fontId="4" fillId="0" borderId="9" xfId="54" applyNumberFormat="1" applyFont="1" applyBorder="1" applyAlignment="1">
      <alignment horizontal="center" vertical="center"/>
      <protection/>
    </xf>
    <xf numFmtId="177" fontId="4" fillId="0" borderId="9" xfId="15" applyNumberFormat="1" applyFont="1" applyBorder="1" applyAlignment="1">
      <alignment horizontal="center" vertical="center"/>
      <protection/>
    </xf>
    <xf numFmtId="179" fontId="4" fillId="0" borderId="9" xfId="15" applyNumberFormat="1" applyFont="1" applyBorder="1" applyAlignment="1">
      <alignment horizontal="center" vertical="center"/>
      <protection/>
    </xf>
    <xf numFmtId="180" fontId="4" fillId="0" borderId="9" xfId="15" applyNumberFormat="1" applyFont="1" applyBorder="1" applyAlignment="1">
      <alignment horizontal="center" vertical="center"/>
      <protection/>
    </xf>
    <xf numFmtId="49" fontId="4" fillId="0" borderId="9" xfId="15" applyNumberFormat="1" applyFont="1" applyBorder="1" applyAlignment="1">
      <alignment horizontal="center" vertical="center"/>
      <protection/>
    </xf>
    <xf numFmtId="176" fontId="4" fillId="0" borderId="9" xfId="15" applyNumberFormat="1" applyFont="1" applyBorder="1" applyAlignment="1">
      <alignment horizontal="center" vertical="center" wrapText="1"/>
      <protection/>
    </xf>
    <xf numFmtId="0" fontId="4" fillId="0" borderId="9" xfId="15" applyFont="1" applyBorder="1" applyAlignment="1">
      <alignment horizontal="left" vertical="center" wrapText="1"/>
      <protection/>
    </xf>
    <xf numFmtId="177" fontId="4" fillId="0" borderId="9" xfId="15" applyNumberFormat="1" applyFont="1" applyBorder="1" applyAlignment="1">
      <alignment horizontal="center" vertical="center" wrapText="1"/>
      <protection/>
    </xf>
    <xf numFmtId="176" fontId="4" fillId="0" borderId="9" xfId="15" applyNumberFormat="1" applyFont="1" applyFill="1" applyBorder="1" applyAlignment="1">
      <alignment horizontal="center" vertical="center"/>
      <protection/>
    </xf>
    <xf numFmtId="0" fontId="4" fillId="0" borderId="9" xfId="15" applyFont="1" applyFill="1" applyBorder="1" applyAlignment="1">
      <alignment horizontal="left" vertical="center"/>
      <protection/>
    </xf>
    <xf numFmtId="177" fontId="5" fillId="0" borderId="9" xfId="15" applyNumberFormat="1" applyFont="1" applyFill="1" applyBorder="1" applyAlignment="1">
      <alignment horizontal="center" vertical="center" shrinkToFit="1"/>
      <protection/>
    </xf>
    <xf numFmtId="177" fontId="5" fillId="0" borderId="9" xfId="15" applyNumberFormat="1" applyFont="1" applyBorder="1" applyAlignment="1">
      <alignment horizontal="center" vertical="center"/>
      <protection/>
    </xf>
    <xf numFmtId="178" fontId="2" fillId="0" borderId="0" xfId="15" applyNumberFormat="1" applyFont="1" applyAlignment="1">
      <alignment horizontal="center" vertical="center"/>
      <protection/>
    </xf>
    <xf numFmtId="178" fontId="4" fillId="0" borderId="0" xfId="15" applyNumberFormat="1" applyFont="1" applyAlignment="1">
      <alignment horizontal="center" vertical="center"/>
      <protection/>
    </xf>
    <xf numFmtId="178" fontId="4" fillId="0" borderId="9" xfId="15" applyNumberFormat="1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 wrapText="1"/>
      <protection/>
    </xf>
    <xf numFmtId="178" fontId="4" fillId="0" borderId="9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178" fontId="6" fillId="0" borderId="9" xfId="15" applyNumberFormat="1" applyFont="1" applyBorder="1" applyAlignment="1">
      <alignment horizontal="center" vertical="center" shrinkToFit="1"/>
      <protection/>
    </xf>
    <xf numFmtId="178" fontId="5" fillId="0" borderId="9" xfId="15" applyNumberFormat="1" applyFont="1" applyBorder="1" applyAlignment="1">
      <alignment horizontal="center" vertical="center" shrinkToFit="1"/>
      <protection/>
    </xf>
    <xf numFmtId="178" fontId="9" fillId="0" borderId="9" xfId="15" applyNumberFormat="1" applyFont="1" applyBorder="1" applyAlignment="1">
      <alignment horizontal="center" vertical="center"/>
      <protection/>
    </xf>
    <xf numFmtId="178" fontId="4" fillId="0" borderId="9" xfId="54" applyNumberFormat="1" applyFont="1" applyBorder="1" applyAlignment="1">
      <alignment horizontal="center" vertical="center"/>
      <protection/>
    </xf>
    <xf numFmtId="2" fontId="10" fillId="0" borderId="9" xfId="15" applyNumberFormat="1" applyFont="1" applyBorder="1" applyAlignment="1">
      <alignment horizontal="center" vertical="center" shrinkToFit="1"/>
      <protection/>
    </xf>
    <xf numFmtId="2" fontId="10" fillId="0" borderId="9" xfId="15" applyNumberFormat="1" applyFont="1" applyBorder="1" applyAlignment="1">
      <alignment horizontal="center" vertical="center" wrapText="1" shrinkToFit="1"/>
      <protection/>
    </xf>
    <xf numFmtId="178" fontId="4" fillId="0" borderId="9" xfId="54" applyNumberFormat="1" applyFont="1" applyFill="1" applyBorder="1" applyAlignment="1">
      <alignment horizontal="center" vertical="center"/>
      <protection/>
    </xf>
    <xf numFmtId="2" fontId="10" fillId="0" borderId="9" xfId="15" applyNumberFormat="1" applyFont="1" applyFill="1" applyBorder="1" applyAlignment="1">
      <alignment horizontal="center" vertical="center" shrinkToFit="1"/>
      <protection/>
    </xf>
    <xf numFmtId="177" fontId="4" fillId="0" borderId="9" xfId="15" applyNumberFormat="1" applyFont="1" applyBorder="1" applyAlignment="1">
      <alignment horizontal="center" vertical="center" shrinkToFit="1"/>
      <protection/>
    </xf>
    <xf numFmtId="2" fontId="4" fillId="0" borderId="0" xfId="15" applyNumberFormat="1" applyFont="1" applyAlignment="1">
      <alignment horizontal="center" vertical="center"/>
      <protection/>
    </xf>
    <xf numFmtId="178" fontId="4" fillId="0" borderId="10" xfId="15" applyNumberFormat="1" applyFont="1" applyBorder="1" applyAlignment="1">
      <alignment horizontal="center" vertical="center" wrapText="1"/>
      <protection/>
    </xf>
    <xf numFmtId="178" fontId="4" fillId="0" borderId="11" xfId="15" applyNumberFormat="1" applyFont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shrinkToFit="1"/>
      <protection/>
    </xf>
    <xf numFmtId="2" fontId="8" fillId="0" borderId="9" xfId="15" applyNumberFormat="1" applyFont="1" applyBorder="1" applyAlignment="1">
      <alignment horizontal="center" vertical="center"/>
      <protection/>
    </xf>
    <xf numFmtId="0" fontId="7" fillId="0" borderId="9" xfId="15" applyFont="1" applyFill="1" applyBorder="1" applyAlignment="1">
      <alignment horizontal="center" vertical="center" shrinkToFit="1"/>
      <protection/>
    </xf>
    <xf numFmtId="0" fontId="55" fillId="0" borderId="9" xfId="15" applyFont="1" applyFill="1" applyBorder="1" applyAlignment="1">
      <alignment horizontal="center" vertical="center" wrapText="1"/>
      <protection/>
    </xf>
    <xf numFmtId="2" fontId="7" fillId="0" borderId="9" xfId="15" applyNumberFormat="1" applyFont="1" applyFill="1" applyBorder="1" applyAlignment="1">
      <alignment horizontal="center" vertical="center" shrinkToFit="1"/>
      <protection/>
    </xf>
    <xf numFmtId="0" fontId="4" fillId="0" borderId="9" xfId="15" applyFont="1" applyBorder="1" applyAlignment="1">
      <alignment horizontal="center" vertical="center" shrinkToFit="1"/>
      <protection/>
    </xf>
    <xf numFmtId="1" fontId="4" fillId="0" borderId="9" xfId="15" applyNumberFormat="1" applyFont="1" applyBorder="1" applyAlignment="1">
      <alignment horizontal="center" vertical="center" shrinkToFit="1"/>
      <protection/>
    </xf>
    <xf numFmtId="2" fontId="10" fillId="0" borderId="9" xfId="15" applyNumberFormat="1" applyFont="1" applyBorder="1" applyAlignment="1">
      <alignment horizontal="center" vertical="center"/>
      <protection/>
    </xf>
    <xf numFmtId="1" fontId="10" fillId="0" borderId="9" xfId="15" applyNumberFormat="1" applyFont="1" applyBorder="1" applyAlignment="1">
      <alignment horizontal="center" vertical="center"/>
      <protection/>
    </xf>
    <xf numFmtId="2" fontId="10" fillId="0" borderId="9" xfId="0" applyNumberFormat="1" applyFont="1" applyFill="1" applyBorder="1" applyAlignment="1">
      <alignment horizontal="center" vertical="center" shrinkToFit="1"/>
    </xf>
    <xf numFmtId="178" fontId="4" fillId="0" borderId="9" xfId="15" applyNumberFormat="1" applyFont="1" applyBorder="1" applyAlignment="1">
      <alignment horizontal="center" vertical="center" shrinkToFit="1"/>
      <protection/>
    </xf>
    <xf numFmtId="2" fontId="4" fillId="0" borderId="9" xfId="0" applyNumberFormat="1" applyFont="1" applyFill="1" applyBorder="1" applyAlignment="1">
      <alignment horizontal="center" vertical="center" shrinkToFit="1"/>
    </xf>
    <xf numFmtId="2" fontId="10" fillId="0" borderId="9" xfId="0" applyNumberFormat="1" applyFont="1" applyFill="1" applyBorder="1" applyAlignment="1">
      <alignment horizontal="center" vertical="center" wrapText="1" shrinkToFit="1"/>
    </xf>
    <xf numFmtId="1" fontId="4" fillId="0" borderId="9" xfId="15" applyNumberFormat="1" applyFont="1" applyFill="1" applyBorder="1" applyAlignment="1">
      <alignment horizontal="center" vertical="center" shrinkToFit="1"/>
      <protection/>
    </xf>
    <xf numFmtId="1" fontId="4" fillId="0" borderId="9" xfId="15" applyNumberFormat="1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56" fillId="0" borderId="0" xfId="15" applyFont="1" applyAlignment="1">
      <alignment horizontal="center" vertical="center" wrapText="1"/>
      <protection/>
    </xf>
    <xf numFmtId="2" fontId="12" fillId="0" borderId="0" xfId="15" applyNumberFormat="1" applyFont="1" applyAlignment="1">
      <alignment horizontal="center" vertical="center" wrapText="1"/>
      <protection/>
    </xf>
    <xf numFmtId="2" fontId="12" fillId="0" borderId="9" xfId="15" applyNumberFormat="1" applyFont="1" applyBorder="1" applyAlignment="1">
      <alignment horizontal="center" vertical="center" wrapText="1"/>
      <protection/>
    </xf>
    <xf numFmtId="2" fontId="12" fillId="0" borderId="9" xfId="15" applyNumberFormat="1" applyFont="1" applyBorder="1" applyAlignment="1">
      <alignment horizontal="center" vertical="center" wrapText="1" shrinkToFit="1"/>
      <protection/>
    </xf>
    <xf numFmtId="1" fontId="8" fillId="0" borderId="9" xfId="15" applyNumberFormat="1" applyFont="1" applyBorder="1" applyAlignment="1">
      <alignment horizontal="center" vertical="center"/>
      <protection/>
    </xf>
    <xf numFmtId="2" fontId="7" fillId="0" borderId="9" xfId="15" applyNumberFormat="1" applyFont="1" applyBorder="1" applyAlignment="1">
      <alignment horizontal="center" vertical="center" wrapText="1" shrinkToFit="1"/>
      <protection/>
    </xf>
    <xf numFmtId="0" fontId="7" fillId="0" borderId="9" xfId="15" applyFont="1" applyBorder="1" applyAlignment="1">
      <alignment horizontal="left" vertical="center" wrapText="1"/>
      <protection/>
    </xf>
    <xf numFmtId="2" fontId="13" fillId="0" borderId="9" xfId="15" applyNumberFormat="1" applyFont="1" applyBorder="1" applyAlignment="1">
      <alignment horizontal="center" vertical="center" wrapText="1" shrinkToFit="1"/>
      <protection/>
    </xf>
    <xf numFmtId="2" fontId="11" fillId="0" borderId="9" xfId="15" applyNumberFormat="1" applyFont="1" applyBorder="1" applyAlignment="1">
      <alignment horizontal="center" vertical="center" wrapText="1" shrinkToFit="1"/>
      <protection/>
    </xf>
    <xf numFmtId="2" fontId="11" fillId="0" borderId="9" xfId="15" applyNumberFormat="1" applyFont="1" applyBorder="1" applyAlignment="1">
      <alignment horizontal="center" vertical="center" wrapText="1"/>
      <protection/>
    </xf>
    <xf numFmtId="2" fontId="11" fillId="0" borderId="9" xfId="15" applyNumberFormat="1" applyFont="1" applyBorder="1" applyAlignment="1">
      <alignment horizontal="left" vertical="center" wrapText="1"/>
      <protection/>
    </xf>
    <xf numFmtId="2" fontId="11" fillId="0" borderId="9" xfId="15" applyNumberFormat="1" applyFont="1" applyFill="1" applyBorder="1" applyAlignment="1">
      <alignment horizontal="left" vertical="center" wrapText="1" shrinkToFit="1"/>
      <protection/>
    </xf>
    <xf numFmtId="2" fontId="11" fillId="0" borderId="9" xfId="15" applyNumberFormat="1" applyFont="1" applyBorder="1" applyAlignment="1">
      <alignment horizontal="left" vertical="center" wrapText="1" shrinkToFit="1"/>
      <protection/>
    </xf>
    <xf numFmtId="176" fontId="5" fillId="0" borderId="9" xfId="15" applyNumberFormat="1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178" fontId="5" fillId="0" borderId="9" xfId="15" applyNumberFormat="1" applyFont="1" applyBorder="1" applyAlignment="1">
      <alignment horizontal="center" vertical="center"/>
      <protection/>
    </xf>
    <xf numFmtId="178" fontId="4" fillId="0" borderId="9" xfId="17" applyNumberFormat="1" applyFont="1" applyFill="1" applyBorder="1" applyAlignment="1">
      <alignment horizontal="center" vertical="center"/>
    </xf>
    <xf numFmtId="0" fontId="3" fillId="0" borderId="0" xfId="15" applyFont="1" applyAlignment="1" quotePrefix="1">
      <alignment horizontal="left" vertical="center"/>
      <protection/>
    </xf>
    <xf numFmtId="0" fontId="5" fillId="0" borderId="9" xfId="15" applyFont="1" applyBorder="1" applyAlignment="1" quotePrefix="1">
      <alignment horizontal="left" vertical="center" shrinkToFit="1"/>
      <protection/>
    </xf>
    <xf numFmtId="0" fontId="4" fillId="0" borderId="9" xfId="15" applyFont="1" applyBorder="1" applyAlignment="1" quotePrefix="1">
      <alignment horizontal="left" vertical="center"/>
      <protection/>
    </xf>
    <xf numFmtId="0" fontId="5" fillId="0" borderId="9" xfId="15" applyFont="1" applyBorder="1" applyAlignment="1" quotePrefix="1">
      <alignment horizontal="left" vertical="center"/>
      <protection/>
    </xf>
  </cellXfs>
  <cellStyles count="53">
    <cellStyle name="Normal" xfId="0"/>
    <cellStyle name="常规 14" xfId="15"/>
    <cellStyle name="普通_总表_1_施湾初总" xfId="16"/>
    <cellStyle name="好 3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普通_QINGPU1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Downloads\&#38468;&#20214;2&#20272;&#31639;&#23457;&#26680;&#23545;&#27604;&#3492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"/>
      <sheetName val="经营成本"/>
      <sheetName val="测量费用"/>
      <sheetName val="二类费表格"/>
      <sheetName val="投资估算审核对比表"/>
      <sheetName val="总表"/>
      <sheetName val="总表 (2)"/>
      <sheetName val="1洋浦三都"/>
      <sheetName val="2中和镇"/>
      <sheetName val="3南丰镇"/>
      <sheetName val="4白马井镇"/>
      <sheetName val="5雅星镇"/>
      <sheetName val="6大成镇"/>
      <sheetName val="7光村镇"/>
      <sheetName val="8东成镇"/>
      <sheetName val="9和庆镇"/>
      <sheetName val="10王五镇"/>
      <sheetName val="11兰洋镇"/>
      <sheetName val="12海头镇"/>
      <sheetName val="13那大镇"/>
      <sheetName val="14木棠镇"/>
      <sheetName val="15峨蔓镇"/>
      <sheetName val="工程量测算"/>
      <sheetName val="单价测算底稿"/>
      <sheetName val="新地水厂至排浦镇区"/>
    </sheetNames>
    <sheetDataSet>
      <sheetData sheetId="7">
        <row r="5">
          <cell r="B5" t="str">
            <v>第一部分工程费用</v>
          </cell>
          <cell r="C5">
            <v>382.33</v>
          </cell>
          <cell r="D5">
            <v>40.68</v>
          </cell>
          <cell r="E5">
            <v>0</v>
          </cell>
          <cell r="G5">
            <v>423.01</v>
          </cell>
        </row>
      </sheetData>
      <sheetData sheetId="8">
        <row r="5">
          <cell r="B5" t="str">
            <v>第一部分工程费用</v>
          </cell>
          <cell r="C5">
            <v>1129.29</v>
          </cell>
          <cell r="D5">
            <v>100.42</v>
          </cell>
          <cell r="E5">
            <v>0</v>
          </cell>
          <cell r="G5">
            <v>1229.71</v>
          </cell>
        </row>
      </sheetData>
      <sheetData sheetId="9">
        <row r="5">
          <cell r="B5" t="str">
            <v>第一部分工程费用</v>
          </cell>
          <cell r="C5">
            <v>314.07</v>
          </cell>
          <cell r="D5">
            <v>12.96</v>
          </cell>
          <cell r="E5">
            <v>0</v>
          </cell>
          <cell r="G5">
            <v>304.64</v>
          </cell>
        </row>
      </sheetData>
      <sheetData sheetId="10">
        <row r="5">
          <cell r="B5" t="str">
            <v>第一部分工程费用</v>
          </cell>
          <cell r="C5">
            <v>1861.4</v>
          </cell>
          <cell r="D5">
            <v>98.62</v>
          </cell>
          <cell r="E5">
            <v>0</v>
          </cell>
          <cell r="G5">
            <v>1960.02</v>
          </cell>
        </row>
      </sheetData>
      <sheetData sheetId="11">
        <row r="5">
          <cell r="B5" t="str">
            <v>第一部分工程费用</v>
          </cell>
          <cell r="C5">
            <v>4166.4</v>
          </cell>
          <cell r="D5">
            <v>363.52</v>
          </cell>
          <cell r="E5">
            <v>0</v>
          </cell>
          <cell r="G5">
            <v>4529.92</v>
          </cell>
        </row>
      </sheetData>
      <sheetData sheetId="12">
        <row r="5">
          <cell r="B5" t="str">
            <v>第一部分工程费用</v>
          </cell>
          <cell r="C5">
            <v>1781.77</v>
          </cell>
          <cell r="D5">
            <v>146.26</v>
          </cell>
          <cell r="E5">
            <v>0</v>
          </cell>
          <cell r="G5">
            <v>1928.03</v>
          </cell>
        </row>
      </sheetData>
      <sheetData sheetId="13">
        <row r="5">
          <cell r="B5" t="str">
            <v>第一部分工程费用</v>
          </cell>
          <cell r="C5">
            <v>324.95</v>
          </cell>
          <cell r="D5">
            <v>36.36</v>
          </cell>
          <cell r="E5">
            <v>0</v>
          </cell>
          <cell r="G5">
            <v>361.31</v>
          </cell>
        </row>
      </sheetData>
      <sheetData sheetId="14">
        <row r="5">
          <cell r="B5" t="str">
            <v>第一部分工程费用</v>
          </cell>
          <cell r="C5">
            <v>583.12</v>
          </cell>
          <cell r="D5">
            <v>80.5</v>
          </cell>
          <cell r="E5">
            <v>0</v>
          </cell>
          <cell r="G5">
            <v>663.62</v>
          </cell>
        </row>
      </sheetData>
      <sheetData sheetId="15">
        <row r="5">
          <cell r="B5" t="str">
            <v>第一部分工程费用</v>
          </cell>
          <cell r="C5">
            <v>2193.86</v>
          </cell>
          <cell r="D5">
            <v>126.34</v>
          </cell>
          <cell r="E5">
            <v>0</v>
          </cell>
          <cell r="G5">
            <v>2320.2</v>
          </cell>
        </row>
      </sheetData>
      <sheetData sheetId="16">
        <row r="5">
          <cell r="B5" t="str">
            <v>第一部分工程费用</v>
          </cell>
          <cell r="C5">
            <v>603.92</v>
          </cell>
          <cell r="D5">
            <v>32.04</v>
          </cell>
          <cell r="E5">
            <v>0</v>
          </cell>
          <cell r="G5">
            <v>635.96</v>
          </cell>
        </row>
      </sheetData>
      <sheetData sheetId="17">
        <row r="5">
          <cell r="B5" t="str">
            <v>第一部分工程费用</v>
          </cell>
          <cell r="C5">
            <v>669.64</v>
          </cell>
          <cell r="D5">
            <v>36.36</v>
          </cell>
          <cell r="E5">
            <v>0</v>
          </cell>
          <cell r="G5">
            <v>706</v>
          </cell>
        </row>
      </sheetData>
      <sheetData sheetId="18">
        <row r="5">
          <cell r="B5" t="str">
            <v>第一部分工程费用</v>
          </cell>
          <cell r="C5">
            <v>648.85</v>
          </cell>
          <cell r="D5">
            <v>72.7</v>
          </cell>
          <cell r="E5">
            <v>0</v>
          </cell>
          <cell r="G5">
            <v>721.55</v>
          </cell>
        </row>
      </sheetData>
      <sheetData sheetId="19">
        <row r="5">
          <cell r="B5" t="str">
            <v>第一部分工程费用</v>
          </cell>
          <cell r="C5">
            <v>304.54</v>
          </cell>
          <cell r="D5">
            <v>48.48</v>
          </cell>
          <cell r="E5">
            <v>0</v>
          </cell>
          <cell r="G5">
            <v>353.02</v>
          </cell>
        </row>
      </sheetData>
      <sheetData sheetId="20">
        <row r="5">
          <cell r="B5" t="str">
            <v>第一部分工程费用</v>
          </cell>
          <cell r="C5">
            <v>4793.55</v>
          </cell>
          <cell r="D5">
            <v>347.94</v>
          </cell>
          <cell r="E5">
            <v>0</v>
          </cell>
          <cell r="G5">
            <v>5141.49</v>
          </cell>
        </row>
      </sheetData>
      <sheetData sheetId="21">
        <row r="5">
          <cell r="B5" t="str">
            <v>第一部分工程费用</v>
          </cell>
          <cell r="C5">
            <v>3392.12</v>
          </cell>
          <cell r="D5">
            <v>250.15</v>
          </cell>
          <cell r="E5">
            <v>0</v>
          </cell>
          <cell r="G5">
            <v>3642.27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workbookViewId="0" topLeftCell="A1">
      <selection activeCell="Q14" sqref="Q14"/>
    </sheetView>
  </sheetViews>
  <sheetFormatPr defaultColWidth="9.00390625" defaultRowHeight="15"/>
  <cols>
    <col min="2" max="2" width="20.57421875" style="0" customWidth="1"/>
    <col min="3" max="3" width="21.28125" style="0" customWidth="1"/>
  </cols>
  <sheetData>
    <row r="1" spans="1:14" ht="22.5">
      <c r="A1" s="1" t="s">
        <v>0</v>
      </c>
      <c r="B1" s="1"/>
      <c r="C1" s="1"/>
      <c r="D1" s="1"/>
      <c r="E1" s="1"/>
      <c r="F1" s="33"/>
      <c r="G1" s="1"/>
      <c r="H1" s="1"/>
      <c r="I1" s="1"/>
      <c r="J1" s="33"/>
      <c r="K1" s="1"/>
      <c r="L1" s="1"/>
      <c r="M1" s="66"/>
      <c r="N1" s="67"/>
    </row>
    <row r="2" spans="1:14" ht="14.25">
      <c r="A2" s="84" t="s">
        <v>1</v>
      </c>
      <c r="B2" s="3"/>
      <c r="C2" s="4"/>
      <c r="D2" s="4"/>
      <c r="E2" s="4"/>
      <c r="F2" s="34"/>
      <c r="G2" s="4"/>
      <c r="H2" s="4"/>
      <c r="I2" s="4"/>
      <c r="J2" s="34"/>
      <c r="K2" s="4"/>
      <c r="L2" s="48"/>
      <c r="M2" s="48"/>
      <c r="N2" s="68"/>
    </row>
    <row r="3" spans="1:14" ht="13.5">
      <c r="A3" s="5" t="s">
        <v>2</v>
      </c>
      <c r="B3" s="6" t="s">
        <v>3</v>
      </c>
      <c r="C3" s="7" t="s">
        <v>4</v>
      </c>
      <c r="D3" s="7"/>
      <c r="E3" s="7"/>
      <c r="F3" s="35"/>
      <c r="G3" s="7"/>
      <c r="H3" s="36" t="s">
        <v>5</v>
      </c>
      <c r="I3" s="36" t="s">
        <v>6</v>
      </c>
      <c r="J3" s="49" t="s">
        <v>7</v>
      </c>
      <c r="K3" s="7" t="s">
        <v>8</v>
      </c>
      <c r="L3" s="7"/>
      <c r="M3" s="7"/>
      <c r="N3" s="69" t="s">
        <v>9</v>
      </c>
    </row>
    <row r="4" spans="1:14" ht="24">
      <c r="A4" s="5"/>
      <c r="B4" s="6"/>
      <c r="C4" s="8" t="s">
        <v>10</v>
      </c>
      <c r="D4" s="8" t="s">
        <v>11</v>
      </c>
      <c r="E4" s="8" t="s">
        <v>12</v>
      </c>
      <c r="F4" s="37" t="s">
        <v>13</v>
      </c>
      <c r="G4" s="8" t="s">
        <v>14</v>
      </c>
      <c r="H4" s="38"/>
      <c r="I4" s="38"/>
      <c r="J4" s="50"/>
      <c r="K4" s="8" t="s">
        <v>15</v>
      </c>
      <c r="L4" s="8" t="s">
        <v>16</v>
      </c>
      <c r="M4" s="8" t="s">
        <v>17</v>
      </c>
      <c r="N4" s="69"/>
    </row>
    <row r="5" spans="1:14" ht="13.5">
      <c r="A5" s="9" t="s">
        <v>18</v>
      </c>
      <c r="B5" s="10" t="s">
        <v>19</v>
      </c>
      <c r="C5" s="11">
        <f aca="true" t="shared" si="0" ref="C5:F5">SUM(C7:C21)</f>
        <v>0</v>
      </c>
      <c r="D5" s="11">
        <f t="shared" si="0"/>
        <v>23149.81</v>
      </c>
      <c r="E5" s="11">
        <f t="shared" si="0"/>
        <v>1793.3300000000002</v>
      </c>
      <c r="F5" s="11">
        <f t="shared" si="0"/>
        <v>0</v>
      </c>
      <c r="G5" s="11">
        <f>+SUM(C5:F5)</f>
        <v>24943.140000000003</v>
      </c>
      <c r="H5" s="11">
        <v>28048.53</v>
      </c>
      <c r="I5" s="11">
        <f>SUM(I7:I21)</f>
        <v>24920.749999999996</v>
      </c>
      <c r="J5" s="40">
        <f aca="true" t="shared" si="1" ref="J5:J64">I5-H5</f>
        <v>-3127.7800000000025</v>
      </c>
      <c r="K5" s="37" t="s">
        <v>20</v>
      </c>
      <c r="L5" s="51">
        <f>SUM(L7:L21)</f>
        <v>68942</v>
      </c>
      <c r="M5" s="15">
        <f>I5/L5*10000</f>
        <v>3614.7413768094916</v>
      </c>
      <c r="N5" s="70"/>
    </row>
    <row r="6" spans="1:14" ht="13.5">
      <c r="A6" s="12">
        <v>1</v>
      </c>
      <c r="B6" s="10"/>
      <c r="C6" s="13"/>
      <c r="D6" s="13"/>
      <c r="E6" s="13"/>
      <c r="F6" s="39"/>
      <c r="G6" s="13"/>
      <c r="H6" s="13"/>
      <c r="I6" s="13"/>
      <c r="J6" s="40">
        <f t="shared" si="1"/>
        <v>0</v>
      </c>
      <c r="K6" s="52"/>
      <c r="L6" s="53"/>
      <c r="M6" s="71"/>
      <c r="N6" s="72"/>
    </row>
    <row r="7" spans="1:14" ht="13.5">
      <c r="A7" s="12">
        <v>1</v>
      </c>
      <c r="B7" s="14" t="s">
        <v>21</v>
      </c>
      <c r="C7" s="15" t="str">
        <f>+'[1]1洋浦三都'!B5</f>
        <v>第一部分工程费用</v>
      </c>
      <c r="D7" s="15">
        <f>+'[1]1洋浦三都'!C5</f>
        <v>382.33</v>
      </c>
      <c r="E7" s="15">
        <f>+'[1]1洋浦三都'!D5</f>
        <v>40.68</v>
      </c>
      <c r="F7" s="15">
        <f>+'[1]1洋浦三都'!E5</f>
        <v>0</v>
      </c>
      <c r="G7" s="15">
        <f aca="true" t="shared" si="2" ref="G7:G21">SUM(C7:F7)</f>
        <v>423.01</v>
      </c>
      <c r="H7" s="15">
        <v>475.91</v>
      </c>
      <c r="I7" s="15">
        <f>'[1]1洋浦三都'!G5</f>
        <v>423.01</v>
      </c>
      <c r="J7" s="40">
        <f t="shared" si="1"/>
        <v>-52.900000000000034</v>
      </c>
      <c r="K7" s="37" t="s">
        <v>20</v>
      </c>
      <c r="L7" s="54">
        <v>1158</v>
      </c>
      <c r="M7" s="15">
        <f aca="true" t="shared" si="3" ref="M7:M21">+I7/L7*10000</f>
        <v>3652.93609671848</v>
      </c>
      <c r="N7" s="73"/>
    </row>
    <row r="8" spans="1:14" ht="13.5">
      <c r="A8" s="12">
        <v>2</v>
      </c>
      <c r="B8" s="14" t="s">
        <v>22</v>
      </c>
      <c r="C8" s="15" t="str">
        <f>+'[1]2中和镇'!B5</f>
        <v>第一部分工程费用</v>
      </c>
      <c r="D8" s="15">
        <f>+'[1]2中和镇'!C5</f>
        <v>1129.29</v>
      </c>
      <c r="E8" s="15">
        <f>+'[1]2中和镇'!D5</f>
        <v>100.42</v>
      </c>
      <c r="F8" s="15">
        <f>+'[1]2中和镇'!E5</f>
        <v>0</v>
      </c>
      <c r="G8" s="15">
        <f t="shared" si="2"/>
        <v>1229.71</v>
      </c>
      <c r="H8" s="15">
        <v>1377.56</v>
      </c>
      <c r="I8" s="15">
        <f>'[1]2中和镇'!G5</f>
        <v>1229.71</v>
      </c>
      <c r="J8" s="40">
        <f t="shared" si="1"/>
        <v>-147.8499999999999</v>
      </c>
      <c r="K8" s="37" t="s">
        <v>20</v>
      </c>
      <c r="L8" s="54">
        <v>3282</v>
      </c>
      <c r="M8" s="15">
        <f t="shared" si="3"/>
        <v>3746.8312004875074</v>
      </c>
      <c r="N8" s="73"/>
    </row>
    <row r="9" spans="1:14" ht="13.5">
      <c r="A9" s="12">
        <v>3</v>
      </c>
      <c r="B9" s="14" t="s">
        <v>23</v>
      </c>
      <c r="C9" s="15" t="str">
        <f>+'[1]3南丰镇'!B5</f>
        <v>第一部分工程费用</v>
      </c>
      <c r="D9" s="15">
        <f>+'[1]3南丰镇'!C5</f>
        <v>314.07</v>
      </c>
      <c r="E9" s="15">
        <f>+'[1]3南丰镇'!D5</f>
        <v>12.96</v>
      </c>
      <c r="F9" s="15">
        <f>+'[1]3南丰镇'!E5</f>
        <v>0</v>
      </c>
      <c r="G9" s="15">
        <f t="shared" si="2"/>
        <v>327.03</v>
      </c>
      <c r="H9" s="15">
        <v>368.95</v>
      </c>
      <c r="I9" s="15">
        <f>'[1]3南丰镇'!G5</f>
        <v>304.64</v>
      </c>
      <c r="J9" s="40">
        <f t="shared" si="1"/>
        <v>-64.31</v>
      </c>
      <c r="K9" s="37" t="s">
        <v>20</v>
      </c>
      <c r="L9" s="54">
        <v>870</v>
      </c>
      <c r="M9" s="15">
        <f t="shared" si="3"/>
        <v>3501.6091954022986</v>
      </c>
      <c r="N9" s="73"/>
    </row>
    <row r="10" spans="1:14" ht="13.5">
      <c r="A10" s="12">
        <v>4</v>
      </c>
      <c r="B10" s="14" t="s">
        <v>24</v>
      </c>
      <c r="C10" s="15" t="str">
        <f>+'[1]4白马井镇'!B5</f>
        <v>第一部分工程费用</v>
      </c>
      <c r="D10" s="15">
        <f>+'[1]4白马井镇'!C5</f>
        <v>1861.4</v>
      </c>
      <c r="E10" s="15">
        <f>+'[1]4白马井镇'!D5</f>
        <v>98.62</v>
      </c>
      <c r="F10" s="15">
        <f>+'[1]4白马井镇'!E5</f>
        <v>0</v>
      </c>
      <c r="G10" s="15">
        <f t="shared" si="2"/>
        <v>1960.02</v>
      </c>
      <c r="H10" s="15">
        <v>2198.19</v>
      </c>
      <c r="I10" s="15">
        <f>'[1]4白马井镇'!G5</f>
        <v>1960.02</v>
      </c>
      <c r="J10" s="40">
        <f t="shared" si="1"/>
        <v>-238.17000000000007</v>
      </c>
      <c r="K10" s="37" t="s">
        <v>20</v>
      </c>
      <c r="L10" s="54">
        <v>5264</v>
      </c>
      <c r="M10" s="15">
        <f t="shared" si="3"/>
        <v>3723.4422492401213</v>
      </c>
      <c r="N10" s="73"/>
    </row>
    <row r="11" spans="1:14" ht="13.5">
      <c r="A11" s="12">
        <v>5</v>
      </c>
      <c r="B11" s="14" t="s">
        <v>25</v>
      </c>
      <c r="C11" s="15" t="str">
        <f>+'[1]5雅星镇'!B5</f>
        <v>第一部分工程费用</v>
      </c>
      <c r="D11" s="15">
        <f>+'[1]5雅星镇'!C5</f>
        <v>4166.4</v>
      </c>
      <c r="E11" s="15">
        <f>+'[1]5雅星镇'!D5</f>
        <v>363.52</v>
      </c>
      <c r="F11" s="15">
        <f>+'[1]5雅星镇'!E5</f>
        <v>0</v>
      </c>
      <c r="G11" s="15">
        <f t="shared" si="2"/>
        <v>4529.92</v>
      </c>
      <c r="H11" s="15">
        <v>5092.47</v>
      </c>
      <c r="I11" s="15">
        <f>'[1]5雅星镇'!G5</f>
        <v>4529.92</v>
      </c>
      <c r="J11" s="40">
        <f t="shared" si="1"/>
        <v>-562.5500000000002</v>
      </c>
      <c r="K11" s="37" t="s">
        <v>20</v>
      </c>
      <c r="L11" s="54">
        <v>12313</v>
      </c>
      <c r="M11" s="15">
        <f t="shared" si="3"/>
        <v>3678.9734427028343</v>
      </c>
      <c r="N11" s="73"/>
    </row>
    <row r="12" spans="1:14" ht="13.5">
      <c r="A12" s="12">
        <v>6</v>
      </c>
      <c r="B12" s="14" t="s">
        <v>26</v>
      </c>
      <c r="C12" s="15" t="str">
        <f>+'[1]6大成镇'!B5</f>
        <v>第一部分工程费用</v>
      </c>
      <c r="D12" s="15">
        <f>+'[1]6大成镇'!C5</f>
        <v>1781.77</v>
      </c>
      <c r="E12" s="15">
        <f>+'[1]6大成镇'!D5</f>
        <v>146.26</v>
      </c>
      <c r="F12" s="15">
        <f>+'[1]6大成镇'!E5</f>
        <v>0</v>
      </c>
      <c r="G12" s="15">
        <f t="shared" si="2"/>
        <v>1928.03</v>
      </c>
      <c r="H12" s="15">
        <v>2165.71</v>
      </c>
      <c r="I12" s="15">
        <f>'[1]6大成镇'!G5</f>
        <v>1928.03</v>
      </c>
      <c r="J12" s="40">
        <f t="shared" si="1"/>
        <v>-237.68000000000006</v>
      </c>
      <c r="K12" s="37" t="s">
        <v>20</v>
      </c>
      <c r="L12" s="54">
        <v>5104</v>
      </c>
      <c r="M12" s="15">
        <f t="shared" si="3"/>
        <v>3777.4882445141066</v>
      </c>
      <c r="N12" s="73"/>
    </row>
    <row r="13" spans="1:14" ht="13.5">
      <c r="A13" s="12">
        <v>7</v>
      </c>
      <c r="B13" s="14" t="s">
        <v>27</v>
      </c>
      <c r="C13" s="15" t="str">
        <f>+'[1]7光村镇'!B5</f>
        <v>第一部分工程费用</v>
      </c>
      <c r="D13" s="15">
        <f>+'[1]7光村镇'!C5</f>
        <v>324.95</v>
      </c>
      <c r="E13" s="15">
        <f>+'[1]7光村镇'!D5</f>
        <v>36.36</v>
      </c>
      <c r="F13" s="15">
        <f>+'[1]7光村镇'!E5</f>
        <v>0</v>
      </c>
      <c r="G13" s="15">
        <f t="shared" si="2"/>
        <v>361.31</v>
      </c>
      <c r="H13" s="15">
        <v>405.43</v>
      </c>
      <c r="I13" s="15">
        <f>'[1]7光村镇'!G5</f>
        <v>361.31</v>
      </c>
      <c r="J13" s="40">
        <f t="shared" si="1"/>
        <v>-44.120000000000005</v>
      </c>
      <c r="K13" s="37" t="s">
        <v>20</v>
      </c>
      <c r="L13" s="54">
        <v>1079</v>
      </c>
      <c r="M13" s="15">
        <f t="shared" si="3"/>
        <v>3348.5634847080632</v>
      </c>
      <c r="N13" s="73"/>
    </row>
    <row r="14" spans="1:14" ht="13.5">
      <c r="A14" s="12">
        <v>8</v>
      </c>
      <c r="B14" s="14" t="s">
        <v>28</v>
      </c>
      <c r="C14" s="15" t="str">
        <f>+'[1]8东成镇'!B5</f>
        <v>第一部分工程费用</v>
      </c>
      <c r="D14" s="15">
        <f>+'[1]8东成镇'!C5</f>
        <v>583.12</v>
      </c>
      <c r="E14" s="15">
        <f>+'[1]8东成镇'!D5</f>
        <v>80.5</v>
      </c>
      <c r="F14" s="15">
        <f>+'[1]8东成镇'!E5</f>
        <v>0</v>
      </c>
      <c r="G14" s="15">
        <f t="shared" si="2"/>
        <v>663.62</v>
      </c>
      <c r="H14" s="15">
        <v>744.5</v>
      </c>
      <c r="I14" s="15">
        <f>'[1]8东成镇'!G5</f>
        <v>663.62</v>
      </c>
      <c r="J14" s="40">
        <f t="shared" si="1"/>
        <v>-80.88</v>
      </c>
      <c r="K14" s="37" t="s">
        <v>20</v>
      </c>
      <c r="L14" s="54">
        <v>1745</v>
      </c>
      <c r="M14" s="15">
        <f t="shared" si="3"/>
        <v>3802.9799426934096</v>
      </c>
      <c r="N14" s="73"/>
    </row>
    <row r="15" spans="1:14" ht="13.5">
      <c r="A15" s="12">
        <v>9</v>
      </c>
      <c r="B15" s="14" t="s">
        <v>29</v>
      </c>
      <c r="C15" s="15" t="str">
        <f>+'[1]9和庆镇'!B5</f>
        <v>第一部分工程费用</v>
      </c>
      <c r="D15" s="15">
        <f>+'[1]9和庆镇'!C5</f>
        <v>2193.86</v>
      </c>
      <c r="E15" s="15">
        <f>+'[1]9和庆镇'!D5</f>
        <v>126.34</v>
      </c>
      <c r="F15" s="15">
        <f>+'[1]9和庆镇'!E5</f>
        <v>0</v>
      </c>
      <c r="G15" s="15">
        <f t="shared" si="2"/>
        <v>2320.2000000000003</v>
      </c>
      <c r="H15" s="15">
        <v>2606.71</v>
      </c>
      <c r="I15" s="15">
        <f>'[1]9和庆镇'!G5</f>
        <v>2320.2</v>
      </c>
      <c r="J15" s="40">
        <f t="shared" si="1"/>
        <v>-286.5100000000002</v>
      </c>
      <c r="K15" s="37" t="s">
        <v>20</v>
      </c>
      <c r="L15" s="54">
        <v>6278</v>
      </c>
      <c r="M15" s="15">
        <f t="shared" si="3"/>
        <v>3695.7629818413507</v>
      </c>
      <c r="N15" s="73"/>
    </row>
    <row r="16" spans="1:14" ht="13.5">
      <c r="A16" s="12">
        <v>10</v>
      </c>
      <c r="B16" s="14" t="s">
        <v>30</v>
      </c>
      <c r="C16" s="15" t="str">
        <f>+'[1]10王五镇'!B5</f>
        <v>第一部分工程费用</v>
      </c>
      <c r="D16" s="15">
        <f>+'[1]10王五镇'!C5</f>
        <v>603.92</v>
      </c>
      <c r="E16" s="15">
        <f>+'[1]10王五镇'!D5</f>
        <v>32.04</v>
      </c>
      <c r="F16" s="15">
        <f>+'[1]10王五镇'!E5</f>
        <v>0</v>
      </c>
      <c r="G16" s="15">
        <f t="shared" si="2"/>
        <v>635.9599999999999</v>
      </c>
      <c r="H16" s="15">
        <v>714.91</v>
      </c>
      <c r="I16" s="15">
        <f>'[1]10王五镇'!G5</f>
        <v>635.96</v>
      </c>
      <c r="J16" s="40">
        <f t="shared" si="1"/>
        <v>-78.94999999999993</v>
      </c>
      <c r="K16" s="37" t="s">
        <v>20</v>
      </c>
      <c r="L16" s="54">
        <v>1822</v>
      </c>
      <c r="M16" s="15">
        <f t="shared" si="3"/>
        <v>3490.4500548847423</v>
      </c>
      <c r="N16" s="73"/>
    </row>
    <row r="17" spans="1:14" ht="13.5">
      <c r="A17" s="12">
        <v>11</v>
      </c>
      <c r="B17" s="14" t="s">
        <v>31</v>
      </c>
      <c r="C17" s="15" t="str">
        <f>+'[1]11兰洋镇'!B5</f>
        <v>第一部分工程费用</v>
      </c>
      <c r="D17" s="15">
        <f>+'[1]11兰洋镇'!C5</f>
        <v>669.64</v>
      </c>
      <c r="E17" s="15">
        <f>+'[1]11兰洋镇'!D5</f>
        <v>36.36</v>
      </c>
      <c r="F17" s="15">
        <f>+'[1]11兰洋镇'!E5</f>
        <v>0</v>
      </c>
      <c r="G17" s="15">
        <f t="shared" si="2"/>
        <v>706</v>
      </c>
      <c r="H17" s="15">
        <v>792.61</v>
      </c>
      <c r="I17" s="15">
        <f>'[1]11兰洋镇'!G5</f>
        <v>706</v>
      </c>
      <c r="J17" s="40">
        <f t="shared" si="1"/>
        <v>-86.61000000000001</v>
      </c>
      <c r="K17" s="37" t="s">
        <v>20</v>
      </c>
      <c r="L17" s="54">
        <v>1871</v>
      </c>
      <c r="M17" s="15">
        <f t="shared" si="3"/>
        <v>3773.3832175307325</v>
      </c>
      <c r="N17" s="73"/>
    </row>
    <row r="18" spans="1:14" ht="13.5">
      <c r="A18" s="12">
        <v>12</v>
      </c>
      <c r="B18" s="14" t="s">
        <v>32</v>
      </c>
      <c r="C18" s="16" t="str">
        <f>+'[1]12海头镇'!B5</f>
        <v>第一部分工程费用</v>
      </c>
      <c r="D18" s="16">
        <f>+'[1]12海头镇'!C5</f>
        <v>648.85</v>
      </c>
      <c r="E18" s="16">
        <f>+'[1]12海头镇'!D5</f>
        <v>72.7</v>
      </c>
      <c r="F18" s="16">
        <f>+'[1]12海头镇'!E5</f>
        <v>0</v>
      </c>
      <c r="G18" s="15">
        <f t="shared" si="2"/>
        <v>721.5500000000001</v>
      </c>
      <c r="H18" s="15">
        <v>804.47</v>
      </c>
      <c r="I18" s="15">
        <f>'[1]12海头镇'!G5</f>
        <v>721.55</v>
      </c>
      <c r="J18" s="40">
        <f t="shared" si="1"/>
        <v>-82.92000000000007</v>
      </c>
      <c r="K18" s="37" t="s">
        <v>20</v>
      </c>
      <c r="L18" s="55">
        <v>2042</v>
      </c>
      <c r="M18" s="15">
        <f t="shared" si="3"/>
        <v>3533.5455435847207</v>
      </c>
      <c r="N18" s="72"/>
    </row>
    <row r="19" spans="1:14" ht="13.5">
      <c r="A19" s="12">
        <v>13</v>
      </c>
      <c r="B19" s="14" t="s">
        <v>33</v>
      </c>
      <c r="C19" s="16" t="str">
        <f>+'[1]13那大镇'!B5</f>
        <v>第一部分工程费用</v>
      </c>
      <c r="D19" s="16">
        <f>+'[1]13那大镇'!C5</f>
        <v>304.54</v>
      </c>
      <c r="E19" s="16">
        <f>+'[1]13那大镇'!D5</f>
        <v>48.48</v>
      </c>
      <c r="F19" s="16">
        <f>+'[1]13那大镇'!E5</f>
        <v>0</v>
      </c>
      <c r="G19" s="15">
        <f t="shared" si="2"/>
        <v>353.02000000000004</v>
      </c>
      <c r="H19" s="15">
        <v>392.25</v>
      </c>
      <c r="I19" s="15">
        <f>'[1]13那大镇'!G5</f>
        <v>353.02</v>
      </c>
      <c r="J19" s="40">
        <f t="shared" si="1"/>
        <v>-39.23000000000002</v>
      </c>
      <c r="K19" s="37" t="s">
        <v>20</v>
      </c>
      <c r="L19" s="55">
        <v>1029</v>
      </c>
      <c r="M19" s="15">
        <f t="shared" si="3"/>
        <v>3430.7094266277936</v>
      </c>
      <c r="N19" s="74"/>
    </row>
    <row r="20" spans="1:14" ht="13.5">
      <c r="A20" s="12">
        <v>14</v>
      </c>
      <c r="B20" s="14" t="s">
        <v>34</v>
      </c>
      <c r="C20" s="16" t="str">
        <f>+'[1]14木棠镇'!B5</f>
        <v>第一部分工程费用</v>
      </c>
      <c r="D20" s="16">
        <f>+'[1]14木棠镇'!C5</f>
        <v>4793.55</v>
      </c>
      <c r="E20" s="16">
        <f>+'[1]14木棠镇'!D5</f>
        <v>347.94</v>
      </c>
      <c r="F20" s="16">
        <f>+'[1]14木棠镇'!E5</f>
        <v>0</v>
      </c>
      <c r="G20" s="15">
        <f t="shared" si="2"/>
        <v>5141.49</v>
      </c>
      <c r="H20" s="15">
        <v>5801.95</v>
      </c>
      <c r="I20" s="15">
        <f>'[1]14木棠镇'!G5</f>
        <v>5141.49</v>
      </c>
      <c r="J20" s="40">
        <f t="shared" si="1"/>
        <v>-660.46</v>
      </c>
      <c r="K20" s="37" t="s">
        <v>20</v>
      </c>
      <c r="L20" s="55">
        <v>14264</v>
      </c>
      <c r="M20" s="15">
        <f t="shared" si="3"/>
        <v>3604.5218732473354</v>
      </c>
      <c r="N20" s="74"/>
    </row>
    <row r="21" spans="1:14" ht="13.5">
      <c r="A21" s="12">
        <v>15</v>
      </c>
      <c r="B21" s="14" t="s">
        <v>35</v>
      </c>
      <c r="C21" s="16" t="str">
        <f>+'[1]15峨蔓镇'!B5</f>
        <v>第一部分工程费用</v>
      </c>
      <c r="D21" s="16">
        <f>+'[1]15峨蔓镇'!C5</f>
        <v>3392.12</v>
      </c>
      <c r="E21" s="16">
        <f>+'[1]15峨蔓镇'!D5</f>
        <v>250.15</v>
      </c>
      <c r="F21" s="16">
        <f>+'[1]15峨蔓镇'!E5</f>
        <v>0</v>
      </c>
      <c r="G21" s="15">
        <f t="shared" si="2"/>
        <v>3642.27</v>
      </c>
      <c r="H21" s="15">
        <v>4106.91</v>
      </c>
      <c r="I21" s="15">
        <f>'[1]15峨蔓镇'!G5</f>
        <v>3642.27</v>
      </c>
      <c r="J21" s="40">
        <f t="shared" si="1"/>
        <v>-464.6399999999999</v>
      </c>
      <c r="K21" s="37" t="s">
        <v>20</v>
      </c>
      <c r="L21" s="55">
        <v>10821</v>
      </c>
      <c r="M21" s="15">
        <f t="shared" si="3"/>
        <v>3365.927363459939</v>
      </c>
      <c r="N21" s="74"/>
    </row>
    <row r="22" spans="1:14" ht="14.25">
      <c r="A22" s="17"/>
      <c r="B22" s="85" t="s">
        <v>36</v>
      </c>
      <c r="C22" s="11">
        <f aca="true" t="shared" si="4" ref="C22:G22">+C5</f>
        <v>0</v>
      </c>
      <c r="D22" s="11">
        <f t="shared" si="4"/>
        <v>23149.81</v>
      </c>
      <c r="E22" s="11">
        <f t="shared" si="4"/>
        <v>1793.3300000000002</v>
      </c>
      <c r="F22" s="40">
        <f t="shared" si="4"/>
        <v>0</v>
      </c>
      <c r="G22" s="11">
        <f t="shared" si="4"/>
        <v>24943.140000000003</v>
      </c>
      <c r="H22" s="11">
        <v>28048.53</v>
      </c>
      <c r="I22" s="11"/>
      <c r="J22" s="40">
        <f t="shared" si="1"/>
        <v>-28048.53</v>
      </c>
      <c r="K22" s="56"/>
      <c r="L22" s="57"/>
      <c r="M22" s="57"/>
      <c r="N22" s="75"/>
    </row>
    <row r="23" spans="1:14" ht="13.5">
      <c r="A23" s="18" t="s">
        <v>37</v>
      </c>
      <c r="B23" s="19" t="s">
        <v>38</v>
      </c>
      <c r="C23" s="20">
        <f>SUM(C24:C53)</f>
        <v>0</v>
      </c>
      <c r="D23" s="20"/>
      <c r="E23" s="20"/>
      <c r="F23" s="41">
        <v>5055</v>
      </c>
      <c r="G23" s="41">
        <f>+SUM(G24:G59)</f>
        <v>5055</v>
      </c>
      <c r="H23" s="41">
        <v>5055</v>
      </c>
      <c r="I23" s="41">
        <f>I24+I25+I26+I33+I34+I35+I38+I41+I42+I45+I46+I47+I48+I49+I50+I51+I55+I56+I57+I58+I59+I60+I61</f>
        <v>4030.55</v>
      </c>
      <c r="J23" s="40">
        <f t="shared" si="1"/>
        <v>-1024.45</v>
      </c>
      <c r="K23" s="58"/>
      <c r="L23" s="59"/>
      <c r="M23" s="59"/>
      <c r="N23" s="76"/>
    </row>
    <row r="24" spans="1:14" ht="21">
      <c r="A24" s="5">
        <v>1</v>
      </c>
      <c r="B24" s="6" t="s">
        <v>39</v>
      </c>
      <c r="C24" s="21"/>
      <c r="D24" s="21"/>
      <c r="E24" s="21"/>
      <c r="F24" s="42">
        <v>387.59</v>
      </c>
      <c r="G24" s="43">
        <f aca="true" t="shared" si="5" ref="G24:G27">SUM(C24:F24)</f>
        <v>387.59</v>
      </c>
      <c r="H24" s="43">
        <v>387.59</v>
      </c>
      <c r="I24" s="60">
        <f>1000*2/100+4000*1.5/100+5000*1.2/100+(I75-10000-I57-I24)*1/100</f>
        <v>333.73</v>
      </c>
      <c r="J24" s="61">
        <f t="shared" si="1"/>
        <v>-53.86</v>
      </c>
      <c r="K24" s="7"/>
      <c r="L24" s="7"/>
      <c r="M24" s="7"/>
      <c r="N24" s="77" t="s">
        <v>40</v>
      </c>
    </row>
    <row r="25" spans="1:14" ht="13.5">
      <c r="A25" s="5">
        <v>2</v>
      </c>
      <c r="B25" s="6" t="s">
        <v>41</v>
      </c>
      <c r="C25" s="21"/>
      <c r="D25" s="21"/>
      <c r="E25" s="21"/>
      <c r="F25" s="42">
        <v>140.24</v>
      </c>
      <c r="G25" s="43">
        <f t="shared" si="5"/>
        <v>140.24</v>
      </c>
      <c r="H25" s="43">
        <v>140.24</v>
      </c>
      <c r="I25" s="60">
        <f>I5*0.5%</f>
        <v>124.60374999999999</v>
      </c>
      <c r="J25" s="61">
        <f t="shared" si="1"/>
        <v>-15.636250000000018</v>
      </c>
      <c r="K25" s="7"/>
      <c r="L25" s="7"/>
      <c r="M25" s="7"/>
      <c r="N25" s="77" t="s">
        <v>42</v>
      </c>
    </row>
    <row r="26" spans="1:14" ht="31.5">
      <c r="A26" s="5">
        <v>3</v>
      </c>
      <c r="B26" s="6" t="s">
        <v>43</v>
      </c>
      <c r="C26" s="22"/>
      <c r="D26" s="22"/>
      <c r="E26" s="22"/>
      <c r="F26" s="42"/>
      <c r="G26" s="43">
        <f t="shared" si="5"/>
        <v>0</v>
      </c>
      <c r="H26" s="43">
        <f>H27+H28+H31+H32</f>
        <v>58.9</v>
      </c>
      <c r="I26" s="60">
        <f>I27+I28+I31+I32</f>
        <v>45.4023185824</v>
      </c>
      <c r="J26" s="61">
        <f t="shared" si="1"/>
        <v>-13.497681417599999</v>
      </c>
      <c r="K26" s="7"/>
      <c r="L26" s="7"/>
      <c r="M26" s="7"/>
      <c r="N26" s="77" t="s">
        <v>44</v>
      </c>
    </row>
    <row r="27" spans="1:14" ht="13.5">
      <c r="A27" s="23">
        <v>3.1</v>
      </c>
      <c r="B27" s="6" t="s">
        <v>45</v>
      </c>
      <c r="C27" s="22"/>
      <c r="D27" s="22"/>
      <c r="E27" s="22"/>
      <c r="F27" s="42">
        <v>7.34</v>
      </c>
      <c r="G27" s="43">
        <f t="shared" si="5"/>
        <v>7.34</v>
      </c>
      <c r="H27" s="43">
        <v>7.34</v>
      </c>
      <c r="I27" s="60">
        <f>(100*1.5/100+400*0.8/100+500*0.45/100+(I35-1000)*0.25/100)*0.8</f>
        <v>5.3556132000000005</v>
      </c>
      <c r="J27" s="61">
        <f t="shared" si="1"/>
        <v>-1.9843867999999993</v>
      </c>
      <c r="K27" s="7"/>
      <c r="L27" s="7"/>
      <c r="M27" s="7"/>
      <c r="N27" s="77"/>
    </row>
    <row r="28" spans="1:14" ht="13.5">
      <c r="A28" s="23">
        <v>3.2</v>
      </c>
      <c r="B28" s="6" t="s">
        <v>46</v>
      </c>
      <c r="C28" s="22"/>
      <c r="D28" s="22"/>
      <c r="E28" s="22"/>
      <c r="F28" s="42"/>
      <c r="G28" s="43"/>
      <c r="H28" s="43">
        <f>H29+H30</f>
        <v>7.2</v>
      </c>
      <c r="I28" s="60">
        <f>(100*1.5/100+400*0.8/100+500*0.45/100+(I42-500)*0.25/100)*0.8</f>
        <v>5.8784053824</v>
      </c>
      <c r="J28" s="61">
        <f t="shared" si="1"/>
        <v>-1.3215946175999997</v>
      </c>
      <c r="K28" s="7"/>
      <c r="L28" s="7"/>
      <c r="M28" s="7"/>
      <c r="N28" s="77"/>
    </row>
    <row r="29" spans="1:14" ht="13.5">
      <c r="A29" s="23" t="s">
        <v>47</v>
      </c>
      <c r="B29" s="6" t="s">
        <v>48</v>
      </c>
      <c r="C29" s="22"/>
      <c r="D29" s="22"/>
      <c r="E29" s="22"/>
      <c r="F29" s="42">
        <v>3.6</v>
      </c>
      <c r="G29" s="43">
        <f aca="true" t="shared" si="6" ref="G29:G34">SUM(C29:F29)</f>
        <v>3.6</v>
      </c>
      <c r="H29" s="43">
        <v>3.6</v>
      </c>
      <c r="I29" s="60">
        <f>I28*0.5</f>
        <v>2.9392026912</v>
      </c>
      <c r="J29" s="61">
        <f t="shared" si="1"/>
        <v>-0.6607973087999999</v>
      </c>
      <c r="K29" s="7"/>
      <c r="L29" s="7"/>
      <c r="M29" s="7"/>
      <c r="N29" s="77"/>
    </row>
    <row r="30" spans="1:14" ht="13.5">
      <c r="A30" s="23" t="s">
        <v>49</v>
      </c>
      <c r="B30" s="6" t="s">
        <v>50</v>
      </c>
      <c r="C30" s="22"/>
      <c r="D30" s="22"/>
      <c r="E30" s="22"/>
      <c r="F30" s="42">
        <v>3.6</v>
      </c>
      <c r="G30" s="43">
        <f t="shared" si="6"/>
        <v>3.6</v>
      </c>
      <c r="H30" s="43">
        <v>3.6</v>
      </c>
      <c r="I30" s="60">
        <f>I28*0.5</f>
        <v>2.9392026912</v>
      </c>
      <c r="J30" s="61">
        <f t="shared" si="1"/>
        <v>-0.6607973087999999</v>
      </c>
      <c r="K30" s="7"/>
      <c r="L30" s="7"/>
      <c r="M30" s="7"/>
      <c r="N30" s="77"/>
    </row>
    <row r="31" spans="1:14" ht="13.5">
      <c r="A31" s="23">
        <v>3.3</v>
      </c>
      <c r="B31" s="6" t="s">
        <v>51</v>
      </c>
      <c r="C31" s="22"/>
      <c r="D31" s="22"/>
      <c r="E31" s="22"/>
      <c r="F31" s="42">
        <v>4.79</v>
      </c>
      <c r="G31" s="43">
        <f t="shared" si="6"/>
        <v>4.79</v>
      </c>
      <c r="H31" s="43">
        <v>4.79</v>
      </c>
      <c r="I31" s="60">
        <f>(100*1.5/100+(500-100)*0.8/100)*0.8</f>
        <v>3.7600000000000002</v>
      </c>
      <c r="J31" s="61">
        <f t="shared" si="1"/>
        <v>-1.0299999999999998</v>
      </c>
      <c r="K31" s="7"/>
      <c r="L31" s="7"/>
      <c r="M31" s="7"/>
      <c r="N31" s="77"/>
    </row>
    <row r="32" spans="1:14" ht="13.5">
      <c r="A32" s="23">
        <v>3.4</v>
      </c>
      <c r="B32" s="6" t="s">
        <v>52</v>
      </c>
      <c r="C32" s="22"/>
      <c r="D32" s="22"/>
      <c r="E32" s="22"/>
      <c r="F32" s="42">
        <v>39.57</v>
      </c>
      <c r="G32" s="43">
        <f t="shared" si="6"/>
        <v>39.57</v>
      </c>
      <c r="H32" s="43">
        <v>39.57</v>
      </c>
      <c r="I32" s="60">
        <f>(100*1/100+400*0.7/100+500*0.55/100+4000*0.35/100+5000*0.2/100+(I5-10000)*0.05/100)*0.8</f>
        <v>30.408299999999997</v>
      </c>
      <c r="J32" s="61">
        <f t="shared" si="1"/>
        <v>-9.161700000000003</v>
      </c>
      <c r="K32" s="7"/>
      <c r="L32" s="7"/>
      <c r="M32" s="7"/>
      <c r="N32" s="77"/>
    </row>
    <row r="33" spans="1:14" ht="21">
      <c r="A33" s="5">
        <v>4</v>
      </c>
      <c r="B33" s="6" t="s">
        <v>53</v>
      </c>
      <c r="C33" s="21"/>
      <c r="D33" s="21"/>
      <c r="E33" s="21"/>
      <c r="F33" s="42">
        <v>84.15</v>
      </c>
      <c r="G33" s="43">
        <f t="shared" si="6"/>
        <v>84.15</v>
      </c>
      <c r="H33" s="43">
        <v>84.15</v>
      </c>
      <c r="I33" s="60">
        <f>I5*0.3%</f>
        <v>74.76225</v>
      </c>
      <c r="J33" s="61">
        <f t="shared" si="1"/>
        <v>-9.387750000000011</v>
      </c>
      <c r="K33" s="7"/>
      <c r="L33" s="7"/>
      <c r="M33" s="7"/>
      <c r="N33" s="77" t="s">
        <v>54</v>
      </c>
    </row>
    <row r="34" spans="1:14" ht="31.5">
      <c r="A34" s="5">
        <v>5</v>
      </c>
      <c r="B34" s="86" t="s">
        <v>55</v>
      </c>
      <c r="C34" s="21"/>
      <c r="D34" s="21"/>
      <c r="E34" s="21"/>
      <c r="F34" s="42">
        <v>520.08</v>
      </c>
      <c r="G34" s="43">
        <f t="shared" si="6"/>
        <v>520.08</v>
      </c>
      <c r="H34" s="43">
        <v>520.08</v>
      </c>
      <c r="I34" s="60">
        <f>(((393.4+(I5-20000)*(708.2-393.4)/(40000-20000))*1)*1)*1*0.8</f>
        <v>376.682084</v>
      </c>
      <c r="J34" s="61">
        <f t="shared" si="1"/>
        <v>-143.39791600000007</v>
      </c>
      <c r="K34" s="7"/>
      <c r="L34" s="7"/>
      <c r="M34" s="7"/>
      <c r="N34" s="77" t="s">
        <v>56</v>
      </c>
    </row>
    <row r="35" spans="1:14" ht="13.5">
      <c r="A35" s="5">
        <v>6</v>
      </c>
      <c r="B35" s="6" t="s">
        <v>57</v>
      </c>
      <c r="C35" s="21"/>
      <c r="D35" s="21"/>
      <c r="E35" s="21"/>
      <c r="F35" s="42"/>
      <c r="G35" s="43"/>
      <c r="H35" s="43">
        <f>H36+H37</f>
        <v>1156.6999999999998</v>
      </c>
      <c r="I35" s="42">
        <f>I36+I37</f>
        <v>897.8066</v>
      </c>
      <c r="J35" s="61">
        <f t="shared" si="1"/>
        <v>-258.8933999999998</v>
      </c>
      <c r="K35" s="7"/>
      <c r="L35" s="7"/>
      <c r="M35" s="7"/>
      <c r="N35" s="77"/>
    </row>
    <row r="36" spans="1:14" ht="42">
      <c r="A36" s="24">
        <v>6.1</v>
      </c>
      <c r="B36" s="6" t="s">
        <v>58</v>
      </c>
      <c r="C36" s="21"/>
      <c r="D36" s="21"/>
      <c r="E36" s="21"/>
      <c r="F36" s="42">
        <v>848.17</v>
      </c>
      <c r="G36" s="43">
        <f aca="true" t="shared" si="7" ref="G36:G48">SUM(C36:F36)</f>
        <v>848.17</v>
      </c>
      <c r="H36" s="43">
        <v>848.17</v>
      </c>
      <c r="I36" s="60">
        <f>848.13*0.8</f>
        <v>678.504</v>
      </c>
      <c r="J36" s="61">
        <f t="shared" si="1"/>
        <v>-169.66599999999994</v>
      </c>
      <c r="K36" s="7"/>
      <c r="L36" s="7"/>
      <c r="M36" s="7"/>
      <c r="N36" s="77" t="s">
        <v>59</v>
      </c>
    </row>
    <row r="37" spans="1:14" ht="31.5">
      <c r="A37" s="24">
        <v>6.2</v>
      </c>
      <c r="B37" s="6" t="s">
        <v>60</v>
      </c>
      <c r="C37" s="21"/>
      <c r="D37" s="21"/>
      <c r="E37" s="21"/>
      <c r="F37" s="42">
        <v>308.53</v>
      </c>
      <c r="G37" s="43">
        <f t="shared" si="7"/>
        <v>308.53</v>
      </c>
      <c r="H37" s="43">
        <v>308.53</v>
      </c>
      <c r="I37" s="62">
        <f>I5*1.1%*0.8</f>
        <v>219.30259999999998</v>
      </c>
      <c r="J37" s="61">
        <f t="shared" si="1"/>
        <v>-89.22739999999999</v>
      </c>
      <c r="K37" s="7"/>
      <c r="L37" s="7"/>
      <c r="M37" s="7"/>
      <c r="N37" s="77" t="s">
        <v>61</v>
      </c>
    </row>
    <row r="38" spans="1:14" ht="31.5">
      <c r="A38" s="5">
        <v>7</v>
      </c>
      <c r="B38" s="6" t="s">
        <v>62</v>
      </c>
      <c r="C38" s="21"/>
      <c r="D38" s="21"/>
      <c r="E38" s="21"/>
      <c r="F38" s="42"/>
      <c r="G38" s="43">
        <f t="shared" si="7"/>
        <v>0</v>
      </c>
      <c r="H38" s="43">
        <f>H39+H40</f>
        <v>85.33</v>
      </c>
      <c r="I38" s="60">
        <f>I39+I40</f>
        <v>38.142334999999996</v>
      </c>
      <c r="J38" s="61">
        <f t="shared" si="1"/>
        <v>-47.187665</v>
      </c>
      <c r="K38" s="7"/>
      <c r="L38" s="7"/>
      <c r="M38" s="7"/>
      <c r="N38" s="77" t="s">
        <v>63</v>
      </c>
    </row>
    <row r="39" spans="1:14" ht="13.5">
      <c r="A39" s="25" t="s">
        <v>64</v>
      </c>
      <c r="B39" s="6" t="s">
        <v>65</v>
      </c>
      <c r="C39" s="21"/>
      <c r="D39" s="21"/>
      <c r="E39" s="21"/>
      <c r="F39" s="42">
        <v>28.24</v>
      </c>
      <c r="G39" s="43">
        <f t="shared" si="7"/>
        <v>28.24</v>
      </c>
      <c r="H39" s="43">
        <v>28.24</v>
      </c>
      <c r="I39" s="60">
        <f>((14+(I5-10000)*(37-14)/(50000-10000))*0.7)*1*0.8</f>
        <v>12.6444815</v>
      </c>
      <c r="J39" s="61">
        <f t="shared" si="1"/>
        <v>-15.595518499999999</v>
      </c>
      <c r="K39" s="7"/>
      <c r="L39" s="7"/>
      <c r="M39" s="7"/>
      <c r="N39" s="77"/>
    </row>
    <row r="40" spans="1:14" ht="13.5">
      <c r="A40" s="25" t="s">
        <v>64</v>
      </c>
      <c r="B40" s="6" t="s">
        <v>66</v>
      </c>
      <c r="C40" s="21"/>
      <c r="D40" s="21"/>
      <c r="E40" s="21"/>
      <c r="F40" s="42">
        <v>57.09</v>
      </c>
      <c r="G40" s="43">
        <f t="shared" si="7"/>
        <v>57.09</v>
      </c>
      <c r="H40" s="43">
        <v>57.09</v>
      </c>
      <c r="I40" s="60">
        <f>((28+(I5-10000)*(75-28)/(50000-10000))*0.7)*1*0.8</f>
        <v>25.497853499999998</v>
      </c>
      <c r="J40" s="61">
        <f t="shared" si="1"/>
        <v>-31.592146500000005</v>
      </c>
      <c r="K40" s="7"/>
      <c r="L40" s="7"/>
      <c r="M40" s="7"/>
      <c r="N40" s="77"/>
    </row>
    <row r="41" spans="1:14" ht="13.5">
      <c r="A41" s="5">
        <v>8</v>
      </c>
      <c r="B41" s="6" t="s">
        <v>67</v>
      </c>
      <c r="C41" s="22"/>
      <c r="D41" s="22"/>
      <c r="E41" s="22"/>
      <c r="F41" s="42">
        <v>18.69</v>
      </c>
      <c r="G41" s="43">
        <f t="shared" si="7"/>
        <v>18.69</v>
      </c>
      <c r="H41" s="43">
        <v>18.69</v>
      </c>
      <c r="I41" s="60">
        <v>0</v>
      </c>
      <c r="J41" s="61">
        <f t="shared" si="1"/>
        <v>-18.69</v>
      </c>
      <c r="K41" s="7"/>
      <c r="L41" s="7"/>
      <c r="M41" s="7"/>
      <c r="N41" s="77" t="s">
        <v>68</v>
      </c>
    </row>
    <row r="42" spans="1:14" ht="31.5">
      <c r="A42" s="5">
        <v>9</v>
      </c>
      <c r="B42" s="6" t="s">
        <v>69</v>
      </c>
      <c r="C42" s="22"/>
      <c r="D42" s="22"/>
      <c r="E42" s="22"/>
      <c r="F42" s="42"/>
      <c r="G42" s="43">
        <f t="shared" si="7"/>
        <v>0</v>
      </c>
      <c r="H42" s="43">
        <f>H43+H44</f>
        <v>1096.62</v>
      </c>
      <c r="I42" s="60">
        <f>(((566.8+(I5-20000)*(1054-566.8)/(40000-20000))*1)*1.2)*1*0.8</f>
        <v>659.2026911999999</v>
      </c>
      <c r="J42" s="61">
        <f t="shared" si="1"/>
        <v>-437.4173088</v>
      </c>
      <c r="K42" s="7"/>
      <c r="L42" s="7"/>
      <c r="M42" s="7"/>
      <c r="N42" s="77" t="s">
        <v>70</v>
      </c>
    </row>
    <row r="43" spans="1:14" ht="13.5">
      <c r="A43" s="24">
        <v>9.1</v>
      </c>
      <c r="B43" s="6" t="s">
        <v>71</v>
      </c>
      <c r="C43" s="22"/>
      <c r="D43" s="22"/>
      <c r="E43" s="22"/>
      <c r="F43" s="42">
        <v>548.31</v>
      </c>
      <c r="G43" s="43">
        <f t="shared" si="7"/>
        <v>548.31</v>
      </c>
      <c r="H43" s="43">
        <v>548.31</v>
      </c>
      <c r="I43" s="63">
        <f>I42*0.5</f>
        <v>329.60134559999995</v>
      </c>
      <c r="J43" s="61">
        <f t="shared" si="1"/>
        <v>-218.7086544</v>
      </c>
      <c r="K43" s="7"/>
      <c r="L43" s="7"/>
      <c r="M43" s="7"/>
      <c r="N43" s="77"/>
    </row>
    <row r="44" spans="1:14" ht="13.5">
      <c r="A44" s="24">
        <v>9.2</v>
      </c>
      <c r="B44" s="6" t="s">
        <v>72</v>
      </c>
      <c r="C44" s="22"/>
      <c r="D44" s="22"/>
      <c r="E44" s="22"/>
      <c r="F44" s="42">
        <v>548.31</v>
      </c>
      <c r="G44" s="43">
        <f t="shared" si="7"/>
        <v>548.31</v>
      </c>
      <c r="H44" s="43">
        <v>548.31</v>
      </c>
      <c r="I44" s="60">
        <f>I42*0.5</f>
        <v>329.60134559999995</v>
      </c>
      <c r="J44" s="61">
        <f t="shared" si="1"/>
        <v>-218.7086544</v>
      </c>
      <c r="K44" s="7"/>
      <c r="L44" s="7"/>
      <c r="M44" s="7"/>
      <c r="N44" s="77"/>
    </row>
    <row r="45" spans="1:14" ht="31.5">
      <c r="A45" s="5">
        <v>10</v>
      </c>
      <c r="B45" s="6" t="s">
        <v>73</v>
      </c>
      <c r="C45" s="22"/>
      <c r="D45" s="22"/>
      <c r="E45" s="22"/>
      <c r="F45" s="42">
        <v>71.28</v>
      </c>
      <c r="G45" s="43">
        <f t="shared" si="7"/>
        <v>71.28</v>
      </c>
      <c r="H45" s="43">
        <v>71.28</v>
      </c>
      <c r="I45" s="60">
        <f>38.8*6.5/100+65*6/100+60.1*5.5/100+140.9*5/100+(I42-304.8)*4/100</f>
        <v>30.948607647999996</v>
      </c>
      <c r="J45" s="61">
        <f t="shared" si="1"/>
        <v>-40.33139235200001</v>
      </c>
      <c r="K45" s="7"/>
      <c r="L45" s="7"/>
      <c r="M45" s="7"/>
      <c r="N45" s="77" t="s">
        <v>74</v>
      </c>
    </row>
    <row r="46" spans="1:14" ht="31.5">
      <c r="A46" s="5">
        <v>11</v>
      </c>
      <c r="B46" s="6" t="s">
        <v>75</v>
      </c>
      <c r="C46" s="22"/>
      <c r="D46" s="22"/>
      <c r="E46" s="22"/>
      <c r="F46" s="42">
        <v>80.05</v>
      </c>
      <c r="G46" s="43">
        <f t="shared" si="7"/>
        <v>80.05</v>
      </c>
      <c r="H46" s="43">
        <v>80.05</v>
      </c>
      <c r="I46" s="63">
        <f>(72+(I5-20000)*(82-72)/(30000-20000))*0.8</f>
        <v>61.5366</v>
      </c>
      <c r="J46" s="61">
        <f t="shared" si="1"/>
        <v>-18.513399999999997</v>
      </c>
      <c r="K46" s="7"/>
      <c r="L46" s="7"/>
      <c r="M46" s="7"/>
      <c r="N46" s="77" t="s">
        <v>76</v>
      </c>
    </row>
    <row r="47" spans="1:14" ht="31.5">
      <c r="A47" s="5">
        <v>12</v>
      </c>
      <c r="B47" s="6" t="s">
        <v>77</v>
      </c>
      <c r="C47" s="22"/>
      <c r="D47" s="22"/>
      <c r="E47" s="22"/>
      <c r="F47" s="42">
        <v>130.24</v>
      </c>
      <c r="G47" s="43">
        <f t="shared" si="7"/>
        <v>130.24</v>
      </c>
      <c r="H47" s="43">
        <v>130.24</v>
      </c>
      <c r="I47" s="63">
        <f>(90+(I5-20000)*(140-90)/(30000-20000))*0.8*0.8</f>
        <v>73.3464</v>
      </c>
      <c r="J47" s="61">
        <f t="shared" si="1"/>
        <v>-56.893600000000006</v>
      </c>
      <c r="K47" s="7"/>
      <c r="L47" s="7"/>
      <c r="M47" s="7"/>
      <c r="N47" s="77" t="s">
        <v>76</v>
      </c>
    </row>
    <row r="48" spans="1:14" ht="63">
      <c r="A48" s="26">
        <v>13</v>
      </c>
      <c r="B48" s="27" t="s">
        <v>78</v>
      </c>
      <c r="C48" s="28"/>
      <c r="D48" s="28"/>
      <c r="E48" s="28"/>
      <c r="F48" s="42">
        <v>15</v>
      </c>
      <c r="G48" s="44">
        <f t="shared" si="7"/>
        <v>15</v>
      </c>
      <c r="H48" s="44">
        <v>15</v>
      </c>
      <c r="I48" s="63">
        <v>15</v>
      </c>
      <c r="J48" s="61">
        <f t="shared" si="1"/>
        <v>0</v>
      </c>
      <c r="K48" s="8"/>
      <c r="L48" s="8"/>
      <c r="M48" s="8"/>
      <c r="N48" s="77" t="s">
        <v>79</v>
      </c>
    </row>
    <row r="49" spans="1:14" ht="48">
      <c r="A49" s="26">
        <v>14</v>
      </c>
      <c r="B49" s="27" t="s">
        <v>80</v>
      </c>
      <c r="C49" s="28"/>
      <c r="D49" s="28"/>
      <c r="E49" s="28"/>
      <c r="F49" s="42"/>
      <c r="G49" s="44"/>
      <c r="H49" s="44">
        <v>0</v>
      </c>
      <c r="I49" s="63">
        <f>(30+(26512.28-20000)*(36-30)/(30000-20000))*0.8</f>
        <v>27.1258944</v>
      </c>
      <c r="J49" s="61">
        <f t="shared" si="1"/>
        <v>27.1258944</v>
      </c>
      <c r="K49" s="8"/>
      <c r="L49" s="8"/>
      <c r="M49" s="8"/>
      <c r="N49" s="77" t="s">
        <v>76</v>
      </c>
    </row>
    <row r="50" spans="1:14" ht="24">
      <c r="A50" s="26">
        <v>15</v>
      </c>
      <c r="B50" s="27" t="s">
        <v>81</v>
      </c>
      <c r="C50" s="28"/>
      <c r="D50" s="28"/>
      <c r="E50" s="28"/>
      <c r="F50" s="42"/>
      <c r="G50" s="44"/>
      <c r="H50" s="44">
        <v>0</v>
      </c>
      <c r="I50" s="63">
        <f>(29+(I75-10000)*(53-29)/(50000-10000))*0.6*0.8</f>
        <v>19.79</v>
      </c>
      <c r="J50" s="61">
        <f t="shared" si="1"/>
        <v>19.79</v>
      </c>
      <c r="K50" s="8"/>
      <c r="L50" s="8"/>
      <c r="M50" s="8"/>
      <c r="N50" s="77" t="s">
        <v>82</v>
      </c>
    </row>
    <row r="51" spans="1:14" ht="31.5">
      <c r="A51" s="5">
        <v>16</v>
      </c>
      <c r="B51" s="27" t="s">
        <v>83</v>
      </c>
      <c r="C51" s="22"/>
      <c r="D51" s="22"/>
      <c r="E51" s="22"/>
      <c r="F51" s="42"/>
      <c r="G51" s="43">
        <f aca="true" t="shared" si="8" ref="G51:G53">SUM(C51:F51)</f>
        <v>0</v>
      </c>
      <c r="H51" s="43">
        <f>H52+H53+H54</f>
        <v>179.34</v>
      </c>
      <c r="I51" s="60">
        <f>I52+I53+I54</f>
        <v>276.5992</v>
      </c>
      <c r="J51" s="61">
        <f t="shared" si="1"/>
        <v>97.25919999999999</v>
      </c>
      <c r="K51" s="7"/>
      <c r="L51" s="7"/>
      <c r="M51" s="7"/>
      <c r="N51" s="77" t="s">
        <v>84</v>
      </c>
    </row>
    <row r="52" spans="1:14" ht="13.5">
      <c r="A52" s="24">
        <v>16.1</v>
      </c>
      <c r="B52" s="6" t="s">
        <v>85</v>
      </c>
      <c r="C52" s="22"/>
      <c r="D52" s="22"/>
      <c r="E52" s="22"/>
      <c r="F52" s="42">
        <v>92.45</v>
      </c>
      <c r="G52" s="43">
        <f t="shared" si="8"/>
        <v>92.45</v>
      </c>
      <c r="H52" s="43">
        <v>92.45</v>
      </c>
      <c r="I52" s="60">
        <f>(500*3.9/1000+500*3.3/1000+4000*2.7/1000+5000*2.2/1000+(I5-10000)*2/1000)*0.8</f>
        <v>44.19319999999999</v>
      </c>
      <c r="J52" s="61">
        <f t="shared" si="1"/>
        <v>-48.25680000000001</v>
      </c>
      <c r="K52" s="7"/>
      <c r="L52" s="7"/>
      <c r="M52" s="7"/>
      <c r="N52" s="77"/>
    </row>
    <row r="53" spans="1:14" ht="13.5">
      <c r="A53" s="24">
        <v>16.2</v>
      </c>
      <c r="B53" s="6" t="s">
        <v>86</v>
      </c>
      <c r="C53" s="22"/>
      <c r="D53" s="22"/>
      <c r="E53" s="22"/>
      <c r="F53" s="42">
        <v>86.89</v>
      </c>
      <c r="G53" s="43">
        <f t="shared" si="8"/>
        <v>86.89</v>
      </c>
      <c r="H53" s="43">
        <v>86.89</v>
      </c>
      <c r="I53" s="60">
        <f>(500*5/1000+500*4.6/1000+4000*4/1000+5000*3.5/1000+(I5-10000)*3/1000)*0.8</f>
        <v>66.44979999999998</v>
      </c>
      <c r="J53" s="61">
        <f t="shared" si="1"/>
        <v>-20.44020000000002</v>
      </c>
      <c r="K53" s="7"/>
      <c r="L53" s="7"/>
      <c r="M53" s="7"/>
      <c r="N53" s="77"/>
    </row>
    <row r="54" spans="1:14" ht="13.5">
      <c r="A54" s="24">
        <v>16.3</v>
      </c>
      <c r="B54" s="6" t="s">
        <v>87</v>
      </c>
      <c r="C54" s="22"/>
      <c r="D54" s="22"/>
      <c r="E54" s="22"/>
      <c r="F54" s="42"/>
      <c r="G54" s="43"/>
      <c r="H54" s="43">
        <v>0</v>
      </c>
      <c r="I54" s="60">
        <f>(500*15/1000+500*13/1000+4000*11/1000+5000*9/1000+(I5-10000)*7/1000)*0.8</f>
        <v>165.9562</v>
      </c>
      <c r="J54" s="61">
        <f t="shared" si="1"/>
        <v>165.9562</v>
      </c>
      <c r="K54" s="7"/>
      <c r="L54" s="7"/>
      <c r="M54" s="7"/>
      <c r="N54" s="77"/>
    </row>
    <row r="55" spans="1:14" ht="31.5">
      <c r="A55" s="5">
        <v>17</v>
      </c>
      <c r="B55" s="6" t="s">
        <v>88</v>
      </c>
      <c r="C55" s="11"/>
      <c r="D55" s="11"/>
      <c r="E55" s="11"/>
      <c r="F55" s="42">
        <v>13.09</v>
      </c>
      <c r="G55" s="43">
        <f aca="true" t="shared" si="9" ref="G55:G59">SUM(C55:F55)</f>
        <v>13.09</v>
      </c>
      <c r="H55" s="43">
        <v>13.09</v>
      </c>
      <c r="I55" s="60">
        <f>((15+(I75-10000)*(20-15)/(50000-10000))*0.7)*0.85*0.8</f>
        <v>8.35</v>
      </c>
      <c r="J55" s="61">
        <f t="shared" si="1"/>
        <v>-4.74</v>
      </c>
      <c r="K55" s="56"/>
      <c r="L55" s="57"/>
      <c r="M55" s="57"/>
      <c r="N55" s="77" t="s">
        <v>89</v>
      </c>
    </row>
    <row r="56" spans="1:14" ht="31.5">
      <c r="A56" s="5">
        <v>18</v>
      </c>
      <c r="B56" s="6" t="s">
        <v>90</v>
      </c>
      <c r="C56" s="11"/>
      <c r="D56" s="11"/>
      <c r="E56" s="11"/>
      <c r="F56" s="42">
        <v>140.24</v>
      </c>
      <c r="G56" s="43">
        <f t="shared" si="9"/>
        <v>140.24</v>
      </c>
      <c r="H56" s="43">
        <v>140.24</v>
      </c>
      <c r="I56" s="60">
        <f>I5*0.5%</f>
        <v>124.60374999999999</v>
      </c>
      <c r="J56" s="61">
        <f t="shared" si="1"/>
        <v>-15.636250000000018</v>
      </c>
      <c r="K56" s="56"/>
      <c r="L56" s="57"/>
      <c r="M56" s="57"/>
      <c r="N56" s="77" t="s">
        <v>91</v>
      </c>
    </row>
    <row r="57" spans="1:14" ht="42">
      <c r="A57" s="5">
        <v>19</v>
      </c>
      <c r="B57" s="6" t="s">
        <v>92</v>
      </c>
      <c r="C57" s="11"/>
      <c r="D57" s="11"/>
      <c r="E57" s="11"/>
      <c r="F57" s="42">
        <v>672</v>
      </c>
      <c r="G57" s="43">
        <f t="shared" si="9"/>
        <v>672</v>
      </c>
      <c r="H57" s="43">
        <v>672</v>
      </c>
      <c r="I57" s="60">
        <v>659.38</v>
      </c>
      <c r="J57" s="61">
        <f t="shared" si="1"/>
        <v>-12.620000000000005</v>
      </c>
      <c r="K57" s="56" t="s">
        <v>93</v>
      </c>
      <c r="L57" s="57">
        <v>48</v>
      </c>
      <c r="M57" s="57">
        <f>I57/L57*10000</f>
        <v>137370.8333333333</v>
      </c>
      <c r="N57" s="77" t="s">
        <v>94</v>
      </c>
    </row>
    <row r="58" spans="1:14" ht="13.5">
      <c r="A58" s="5">
        <v>20</v>
      </c>
      <c r="B58" s="6" t="s">
        <v>95</v>
      </c>
      <c r="C58" s="11"/>
      <c r="D58" s="11"/>
      <c r="E58" s="11"/>
      <c r="F58" s="42">
        <v>30</v>
      </c>
      <c r="G58" s="43">
        <f t="shared" si="9"/>
        <v>30</v>
      </c>
      <c r="H58" s="43">
        <v>30</v>
      </c>
      <c r="I58" s="60">
        <v>30</v>
      </c>
      <c r="J58" s="61">
        <f t="shared" si="1"/>
        <v>0</v>
      </c>
      <c r="K58" s="56"/>
      <c r="L58" s="57"/>
      <c r="M58" s="57"/>
      <c r="N58" s="77" t="s">
        <v>96</v>
      </c>
    </row>
    <row r="59" spans="1:14" ht="13.5">
      <c r="A59" s="29">
        <v>21</v>
      </c>
      <c r="B59" s="30" t="s">
        <v>97</v>
      </c>
      <c r="C59" s="31"/>
      <c r="D59" s="31"/>
      <c r="E59" s="31"/>
      <c r="F59" s="45">
        <v>175.46</v>
      </c>
      <c r="G59" s="46">
        <f t="shared" si="9"/>
        <v>175.46</v>
      </c>
      <c r="H59" s="46">
        <v>175.46</v>
      </c>
      <c r="I59" s="60">
        <v>0</v>
      </c>
      <c r="J59" s="61">
        <f t="shared" si="1"/>
        <v>-175.46</v>
      </c>
      <c r="K59" s="51"/>
      <c r="L59" s="64"/>
      <c r="M59" s="64"/>
      <c r="N59" s="78" t="s">
        <v>68</v>
      </c>
    </row>
    <row r="60" spans="1:14" ht="42">
      <c r="A60" s="29">
        <v>22</v>
      </c>
      <c r="B60" s="30" t="s">
        <v>98</v>
      </c>
      <c r="C60" s="31"/>
      <c r="D60" s="31"/>
      <c r="E60" s="31"/>
      <c r="F60" s="45"/>
      <c r="G60" s="46"/>
      <c r="H60" s="46">
        <v>0</v>
      </c>
      <c r="I60" s="60">
        <f>L60*M60/10000</f>
        <v>123.5356</v>
      </c>
      <c r="J60" s="61">
        <f t="shared" si="1"/>
        <v>123.5356</v>
      </c>
      <c r="K60" s="51" t="s">
        <v>99</v>
      </c>
      <c r="L60" s="64">
        <f>36668+36000</f>
        <v>72668</v>
      </c>
      <c r="M60" s="64">
        <v>17</v>
      </c>
      <c r="N60" s="78" t="s">
        <v>100</v>
      </c>
    </row>
    <row r="61" spans="1:14" ht="31.5">
      <c r="A61" s="29">
        <v>23</v>
      </c>
      <c r="B61" s="30" t="s">
        <v>101</v>
      </c>
      <c r="C61" s="11"/>
      <c r="D61" s="11"/>
      <c r="E61" s="11"/>
      <c r="F61" s="40"/>
      <c r="G61" s="11"/>
      <c r="H61" s="47">
        <v>0</v>
      </c>
      <c r="I61" s="47">
        <v>30</v>
      </c>
      <c r="J61" s="61">
        <f t="shared" si="1"/>
        <v>30</v>
      </c>
      <c r="K61" s="56"/>
      <c r="L61" s="57"/>
      <c r="M61" s="57"/>
      <c r="N61" s="79" t="s">
        <v>102</v>
      </c>
    </row>
    <row r="62" spans="1:14" ht="13.5">
      <c r="A62" s="22"/>
      <c r="B62" s="85" t="s">
        <v>103</v>
      </c>
      <c r="C62" s="11">
        <f>+C23</f>
        <v>0</v>
      </c>
      <c r="D62" s="11"/>
      <c r="E62" s="11"/>
      <c r="F62" s="40">
        <f>+F23</f>
        <v>5055</v>
      </c>
      <c r="G62" s="11">
        <f aca="true" t="shared" si="10" ref="G62:G67">SUM(C62:F62)</f>
        <v>5055</v>
      </c>
      <c r="H62" s="11">
        <v>5055</v>
      </c>
      <c r="I62" s="11"/>
      <c r="J62" s="40">
        <f t="shared" si="1"/>
        <v>-5055</v>
      </c>
      <c r="K62" s="56"/>
      <c r="L62" s="57"/>
      <c r="M62" s="57"/>
      <c r="N62" s="79"/>
    </row>
    <row r="63" spans="1:14" ht="13.5">
      <c r="A63" s="5"/>
      <c r="B63" s="87" t="s">
        <v>104</v>
      </c>
      <c r="C63" s="32">
        <f aca="true" t="shared" si="11" ref="C63:F63">+C22+C62</f>
        <v>0</v>
      </c>
      <c r="D63" s="32">
        <f t="shared" si="11"/>
        <v>23149.81</v>
      </c>
      <c r="E63" s="32">
        <f t="shared" si="11"/>
        <v>1793.3300000000002</v>
      </c>
      <c r="F63" s="32">
        <f t="shared" si="11"/>
        <v>5055</v>
      </c>
      <c r="G63" s="11">
        <f t="shared" si="10"/>
        <v>29998.140000000003</v>
      </c>
      <c r="H63" s="11">
        <v>33103.53</v>
      </c>
      <c r="I63" s="11"/>
      <c r="J63" s="40">
        <f t="shared" si="1"/>
        <v>-33103.53</v>
      </c>
      <c r="K63" s="7"/>
      <c r="L63" s="65"/>
      <c r="M63" s="65"/>
      <c r="N63" s="77"/>
    </row>
    <row r="64" spans="1:14" ht="13.5">
      <c r="A64" s="5"/>
      <c r="B64" s="19"/>
      <c r="C64" s="32"/>
      <c r="D64" s="32"/>
      <c r="E64" s="32"/>
      <c r="F64" s="32"/>
      <c r="G64" s="11"/>
      <c r="H64" s="11"/>
      <c r="I64" s="11"/>
      <c r="J64" s="40">
        <f t="shared" si="1"/>
        <v>0</v>
      </c>
      <c r="K64" s="7"/>
      <c r="L64" s="65"/>
      <c r="M64" s="65"/>
      <c r="N64" s="77"/>
    </row>
    <row r="65" spans="1:14" ht="13.5">
      <c r="A65" s="5"/>
      <c r="B65" s="19"/>
      <c r="C65" s="32"/>
      <c r="D65" s="32"/>
      <c r="E65" s="32"/>
      <c r="F65" s="32"/>
      <c r="G65" s="11"/>
      <c r="H65" s="11"/>
      <c r="I65" s="11"/>
      <c r="J65" s="40"/>
      <c r="K65" s="7"/>
      <c r="L65" s="65"/>
      <c r="M65" s="65"/>
      <c r="N65" s="77"/>
    </row>
    <row r="66" spans="1:14" ht="21">
      <c r="A66" s="80" t="s">
        <v>105</v>
      </c>
      <c r="B66" s="19" t="s">
        <v>106</v>
      </c>
      <c r="C66" s="22"/>
      <c r="D66" s="22"/>
      <c r="E66" s="22"/>
      <c r="F66" s="82">
        <f>SUM(F67:F68)</f>
        <v>0</v>
      </c>
      <c r="G66" s="11">
        <f t="shared" si="10"/>
        <v>0</v>
      </c>
      <c r="H66" s="11">
        <v>1655.18</v>
      </c>
      <c r="I66" s="11">
        <f>I67</f>
        <v>1414.6</v>
      </c>
      <c r="J66" s="40">
        <f aca="true" t="shared" si="12" ref="J66:J75">I66-H66</f>
        <v>-240.58</v>
      </c>
      <c r="K66" s="7"/>
      <c r="L66" s="7"/>
      <c r="M66" s="7"/>
      <c r="N66" s="77" t="s">
        <v>107</v>
      </c>
    </row>
    <row r="67" spans="1:14" ht="13.5">
      <c r="A67" s="5"/>
      <c r="B67" s="6" t="s">
        <v>108</v>
      </c>
      <c r="C67" s="22"/>
      <c r="D67" s="22"/>
      <c r="E67" s="22"/>
      <c r="F67" s="83">
        <f>(G63)*O67</f>
        <v>0</v>
      </c>
      <c r="G67" s="21">
        <f t="shared" si="10"/>
        <v>0</v>
      </c>
      <c r="H67" s="21">
        <v>1655.18</v>
      </c>
      <c r="I67" s="21">
        <f>(I5+I23-I57)*5%</f>
        <v>1414.6</v>
      </c>
      <c r="J67" s="40">
        <f t="shared" si="12"/>
        <v>-240.58</v>
      </c>
      <c r="K67" s="7"/>
      <c r="L67" s="7"/>
      <c r="M67" s="7"/>
      <c r="N67" s="77"/>
    </row>
    <row r="68" spans="1:14" ht="13.5">
      <c r="A68" s="5"/>
      <c r="B68" s="19"/>
      <c r="C68" s="22"/>
      <c r="D68" s="22"/>
      <c r="E68" s="22"/>
      <c r="F68" s="35"/>
      <c r="G68" s="22"/>
      <c r="H68" s="22"/>
      <c r="I68" s="22"/>
      <c r="J68" s="40">
        <f t="shared" si="12"/>
        <v>0</v>
      </c>
      <c r="K68" s="7"/>
      <c r="L68" s="7"/>
      <c r="M68" s="7"/>
      <c r="N68" s="77"/>
    </row>
    <row r="69" spans="1:14" ht="13.5">
      <c r="A69" s="5"/>
      <c r="B69" s="87" t="s">
        <v>109</v>
      </c>
      <c r="C69" s="32">
        <f aca="true" t="shared" si="13" ref="C69:F69">C63+C66</f>
        <v>0</v>
      </c>
      <c r="D69" s="32">
        <f t="shared" si="13"/>
        <v>23149.81</v>
      </c>
      <c r="E69" s="32">
        <f t="shared" si="13"/>
        <v>1793.3300000000002</v>
      </c>
      <c r="F69" s="32">
        <f t="shared" si="13"/>
        <v>5055</v>
      </c>
      <c r="G69" s="11">
        <f>+G22+G62+G66</f>
        <v>29998.140000000003</v>
      </c>
      <c r="H69" s="11">
        <v>34758.71</v>
      </c>
      <c r="I69" s="11"/>
      <c r="J69" s="40">
        <f t="shared" si="12"/>
        <v>-34758.71</v>
      </c>
      <c r="K69" s="7"/>
      <c r="L69" s="65"/>
      <c r="M69" s="65"/>
      <c r="N69" s="77"/>
    </row>
    <row r="70" spans="1:14" ht="13.5">
      <c r="A70" s="5"/>
      <c r="B70" s="19"/>
      <c r="C70" s="22"/>
      <c r="D70" s="22"/>
      <c r="E70" s="22"/>
      <c r="F70" s="82"/>
      <c r="G70" s="47"/>
      <c r="H70" s="47"/>
      <c r="I70" s="47"/>
      <c r="J70" s="40">
        <f t="shared" si="12"/>
        <v>0</v>
      </c>
      <c r="K70" s="7"/>
      <c r="L70" s="7"/>
      <c r="M70" s="7"/>
      <c r="N70" s="77"/>
    </row>
    <row r="71" spans="1:14" ht="21">
      <c r="A71" s="5"/>
      <c r="B71" s="19" t="s">
        <v>110</v>
      </c>
      <c r="C71" s="22"/>
      <c r="D71" s="22"/>
      <c r="E71" s="22"/>
      <c r="F71" s="82"/>
      <c r="G71" s="82">
        <f>+SUM(F71)</f>
        <v>0</v>
      </c>
      <c r="H71" s="82">
        <v>0</v>
      </c>
      <c r="I71" s="82"/>
      <c r="J71" s="40">
        <f t="shared" si="12"/>
        <v>0</v>
      </c>
      <c r="K71" s="7"/>
      <c r="L71" s="7"/>
      <c r="M71" s="7"/>
      <c r="N71" s="77" t="s">
        <v>111</v>
      </c>
    </row>
    <row r="72" spans="1:14" ht="13.5">
      <c r="A72" s="5"/>
      <c r="B72" s="19"/>
      <c r="C72" s="22"/>
      <c r="D72" s="22"/>
      <c r="E72" s="22"/>
      <c r="F72" s="35"/>
      <c r="G72" s="11"/>
      <c r="H72" s="11"/>
      <c r="I72" s="11"/>
      <c r="J72" s="40">
        <f t="shared" si="12"/>
        <v>0</v>
      </c>
      <c r="K72" s="7"/>
      <c r="L72" s="7"/>
      <c r="M72" s="7"/>
      <c r="N72" s="77"/>
    </row>
    <row r="73" spans="1:14" ht="13.5">
      <c r="A73" s="5"/>
      <c r="B73" s="19" t="s">
        <v>112</v>
      </c>
      <c r="C73" s="22"/>
      <c r="D73" s="22"/>
      <c r="E73" s="22"/>
      <c r="F73" s="82"/>
      <c r="G73" s="11">
        <f>SUM(C73:F73)</f>
        <v>0</v>
      </c>
      <c r="H73" s="11">
        <v>0</v>
      </c>
      <c r="I73" s="11"/>
      <c r="J73" s="40">
        <f t="shared" si="12"/>
        <v>0</v>
      </c>
      <c r="K73" s="7" t="s">
        <v>113</v>
      </c>
      <c r="L73" s="7">
        <v>15</v>
      </c>
      <c r="M73" s="7">
        <v>100000</v>
      </c>
      <c r="N73" s="77"/>
    </row>
    <row r="74" spans="1:14" ht="13.5">
      <c r="A74" s="5"/>
      <c r="B74" s="19"/>
      <c r="C74" s="22"/>
      <c r="D74" s="22"/>
      <c r="E74" s="22"/>
      <c r="F74" s="35"/>
      <c r="G74" s="22"/>
      <c r="H74" s="22"/>
      <c r="I74" s="22"/>
      <c r="J74" s="40">
        <f t="shared" si="12"/>
        <v>0</v>
      </c>
      <c r="K74" s="7"/>
      <c r="L74" s="7"/>
      <c r="M74" s="7"/>
      <c r="N74" s="77"/>
    </row>
    <row r="75" spans="1:14" ht="13.5">
      <c r="A75" s="81" t="s">
        <v>114</v>
      </c>
      <c r="B75" s="19" t="s">
        <v>115</v>
      </c>
      <c r="C75" s="32">
        <f aca="true" t="shared" si="14" ref="C75:F75">+C73+C71+C69</f>
        <v>0</v>
      </c>
      <c r="D75" s="32">
        <f t="shared" si="14"/>
        <v>23149.81</v>
      </c>
      <c r="E75" s="32">
        <f t="shared" si="14"/>
        <v>1793.3300000000002</v>
      </c>
      <c r="F75" s="32">
        <f t="shared" si="14"/>
        <v>5055</v>
      </c>
      <c r="G75" s="11">
        <f>SUM(C75:F75)</f>
        <v>29998.140000000003</v>
      </c>
      <c r="H75" s="11">
        <v>34758.71</v>
      </c>
      <c r="I75" s="11">
        <f>I5+I23+I66</f>
        <v>30365.9</v>
      </c>
      <c r="J75" s="40">
        <f t="shared" si="12"/>
        <v>-4392.81</v>
      </c>
      <c r="K75" s="7"/>
      <c r="L75" s="65"/>
      <c r="M75" s="65"/>
      <c r="N75" s="77" t="s">
        <v>116</v>
      </c>
    </row>
  </sheetData>
  <sheetProtection/>
  <mergeCells count="9">
    <mergeCell ref="A1:N1"/>
    <mergeCell ref="C3:G3"/>
    <mergeCell ref="K3:M3"/>
    <mergeCell ref="A3:A4"/>
    <mergeCell ref="B3:B4"/>
    <mergeCell ref="H3:H4"/>
    <mergeCell ref="I3:I4"/>
    <mergeCell ref="J3:J4"/>
    <mergeCell ref="N3:N4"/>
  </mergeCells>
  <conditionalFormatting sqref="B7:B21">
    <cfRule type="expression" priority="1" dxfId="0" stopIfTrue="1">
      <formula>AND(COUNTIF($B$7:$B$21,B7)&gt;1,NOT(ISBLANK(B7)))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2023-10-18T11:16:49Z</dcterms:created>
  <dcterms:modified xsi:type="dcterms:W3CDTF">2023-10-18T11:18:01Z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