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合格）儋州市2020年面向社会公开招聘卫生健康事业单位编内专" sheetId="1" r:id="rId1"/>
  </sheets>
  <definedNames/>
  <calcPr fullCalcOnLoad="1"/>
</workbook>
</file>

<file path=xl/sharedStrings.xml><?xml version="1.0" encoding="utf-8"?>
<sst xmlns="http://schemas.openxmlformats.org/spreadsheetml/2006/main" count="361" uniqueCount="38">
  <si>
    <t>儋州市2020年面向社会公开招聘卫生健康事业单位编内专业技术人员报名通过及开考花名册（第一轮）</t>
  </si>
  <si>
    <t>序号</t>
  </si>
  <si>
    <t>报考号</t>
  </si>
  <si>
    <t>报考岗位</t>
  </si>
  <si>
    <t>姓名</t>
  </si>
  <si>
    <t>所学专业</t>
  </si>
  <si>
    <t>毕业时间</t>
  </si>
  <si>
    <t>学历</t>
  </si>
  <si>
    <t>现户口所在地</t>
  </si>
  <si>
    <t>备注</t>
  </si>
  <si>
    <t>0101_妇产科医师</t>
  </si>
  <si>
    <t>0201_公卫人员（公卫医师岗）</t>
  </si>
  <si>
    <t>儋州生源</t>
  </si>
  <si>
    <t>0202_医师</t>
  </si>
  <si>
    <t>0204_超声医学科医师</t>
  </si>
  <si>
    <t>0205_放射科诊断医师</t>
  </si>
  <si>
    <t>0213_药剂师</t>
  </si>
  <si>
    <t>0214_行政人员</t>
  </si>
  <si>
    <t>0217_公卫人员（临床医师岗）</t>
  </si>
  <si>
    <t>0218_公卫人员（护理岗）</t>
  </si>
  <si>
    <t>0219_公卫人员（检验岗）</t>
  </si>
  <si>
    <t>0220_信息化管理员</t>
  </si>
  <si>
    <t>0301_西医医师</t>
  </si>
  <si>
    <t>0302_西医医师</t>
  </si>
  <si>
    <t>0304_放射科医师、影像技师、B超医生、心电图医生</t>
  </si>
  <si>
    <t>0306_口腔科医师</t>
  </si>
  <si>
    <t>0308_中医医师</t>
  </si>
  <si>
    <t>0309_公卫人员</t>
  </si>
  <si>
    <t>0310_药剂士</t>
  </si>
  <si>
    <t>0311_中药剂士</t>
  </si>
  <si>
    <t>0312_检验士</t>
  </si>
  <si>
    <t>0313_助产士</t>
  </si>
  <si>
    <t>0314_护士</t>
  </si>
  <si>
    <t>0315_护士</t>
  </si>
  <si>
    <t>0316_财务科</t>
  </si>
  <si>
    <t>0317_行政人员</t>
  </si>
  <si>
    <t>0318_信息化管理员</t>
  </si>
  <si>
    <t>备注：计划招聘职数251个，共1662人报名，通过报名审核356人，报名审核通过，但报名职位人数达不到开考比例的9人，报名职位人数达到开考比例的347人；报名人数达到开考比例的职数为101个，其中：医师职数15个、公共卫生人员职数16个、药剂师（士）职数4个、中药剂师（士）职数1个、检验士职数2个、助产士职数1个、护士职数42个、行政人员职数7个、财务人员职数8个、信息化管理员职数5个。剩余150个职数报名人数达不到开考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</si>
</sst>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2"/>
      <color indexed="8"/>
      <name val="宋体"/>
      <family val="0"/>
    </font>
    <font>
      <b/>
      <sz val="2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42" fillId="0" borderId="0" xfId="0" applyFont="1" applyAlignment="1">
      <alignment horizontal="center" vertical="center" wrapText="1"/>
    </xf>
    <xf numFmtId="0" fontId="0" fillId="0" borderId="0" xfId="0" applyAlignment="1">
      <alignment horizontal="center" vertical="center" wrapText="1"/>
    </xf>
    <xf numFmtId="0" fontId="4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0"/>
  <sheetViews>
    <sheetView tabSelected="1" workbookViewId="0" topLeftCell="A340">
      <selection activeCell="H352" sqref="H352"/>
    </sheetView>
  </sheetViews>
  <sheetFormatPr defaultColWidth="9.00390625" defaultRowHeight="30.75" customHeight="1"/>
  <cols>
    <col min="1" max="1" width="6.421875" style="2" customWidth="1"/>
    <col min="2" max="2" width="22.57421875" style="2" customWidth="1"/>
    <col min="3" max="3" width="17.421875" style="2" customWidth="1"/>
    <col min="4" max="4" width="9.00390625" style="2" customWidth="1"/>
    <col min="5" max="5" width="10.00390625" style="2" customWidth="1"/>
    <col min="6" max="6" width="9.421875" style="2" customWidth="1"/>
    <col min="7" max="7" width="7.00390625" style="2" customWidth="1"/>
    <col min="8" max="8" width="19.00390625" style="2" customWidth="1"/>
    <col min="9" max="16384" width="9.00390625" style="2" customWidth="1"/>
  </cols>
  <sheetData>
    <row r="1" spans="1:9" ht="58.5" customHeight="1">
      <c r="A1" s="3" t="s">
        <v>0</v>
      </c>
      <c r="B1" s="4"/>
      <c r="C1" s="4"/>
      <c r="D1" s="4"/>
      <c r="E1" s="4"/>
      <c r="F1" s="4"/>
      <c r="G1" s="4"/>
      <c r="H1" s="4"/>
      <c r="I1" s="4"/>
    </row>
    <row r="2" spans="1:9" s="1" customFormat="1" ht="30.75" customHeight="1">
      <c r="A2" s="5" t="s">
        <v>1</v>
      </c>
      <c r="B2" s="5" t="s">
        <v>2</v>
      </c>
      <c r="C2" s="5" t="s">
        <v>3</v>
      </c>
      <c r="D2" s="5" t="s">
        <v>4</v>
      </c>
      <c r="E2" s="5" t="s">
        <v>5</v>
      </c>
      <c r="F2" s="5" t="s">
        <v>6</v>
      </c>
      <c r="G2" s="5" t="s">
        <v>7</v>
      </c>
      <c r="H2" s="5" t="s">
        <v>8</v>
      </c>
      <c r="I2" s="5" t="s">
        <v>9</v>
      </c>
    </row>
    <row r="3" spans="1:9" ht="30.75" customHeight="1">
      <c r="A3" s="6">
        <v>1</v>
      </c>
      <c r="B3" s="7" t="str">
        <f>"25222020080208362738"</f>
        <v>25222020080208362738</v>
      </c>
      <c r="C3" s="7" t="s">
        <v>10</v>
      </c>
      <c r="D3" s="7" t="str">
        <f>"李允妹"</f>
        <v>李允妹</v>
      </c>
      <c r="E3" s="7" t="str">
        <f>"临床医学"</f>
        <v>临床医学</v>
      </c>
      <c r="F3" s="7" t="str">
        <f>"2020. 07"</f>
        <v>2020. 07</v>
      </c>
      <c r="G3" s="7" t="str">
        <f aca="true" t="shared" si="0" ref="G3:G27">"本科"</f>
        <v>本科</v>
      </c>
      <c r="H3" s="7" t="str">
        <f aca="true" t="shared" si="1" ref="H3:H7">"海南省儋州市"</f>
        <v>海南省儋州市</v>
      </c>
      <c r="I3" s="7"/>
    </row>
    <row r="4" spans="1:9" ht="30.75" customHeight="1">
      <c r="A4" s="6">
        <v>2</v>
      </c>
      <c r="B4" s="7" t="str">
        <f>"252220200802110027190"</f>
        <v>252220200802110027190</v>
      </c>
      <c r="C4" s="7" t="s">
        <v>10</v>
      </c>
      <c r="D4" s="7" t="str">
        <f>"吴庆香"</f>
        <v>吴庆香</v>
      </c>
      <c r="E4" s="7" t="str">
        <f>"临床医学"</f>
        <v>临床医学</v>
      </c>
      <c r="F4" s="7" t="str">
        <f>"2020.07"</f>
        <v>2020.07</v>
      </c>
      <c r="G4" s="7" t="str">
        <f t="shared" si="0"/>
        <v>本科</v>
      </c>
      <c r="H4" s="7" t="str">
        <f t="shared" si="1"/>
        <v>海南省儋州市</v>
      </c>
      <c r="I4" s="7"/>
    </row>
    <row r="5" spans="1:9" ht="30.75" customHeight="1">
      <c r="A5" s="6">
        <v>3</v>
      </c>
      <c r="B5" s="7" t="str">
        <f>"2522202008041120371141"</f>
        <v>2522202008041120371141</v>
      </c>
      <c r="C5" s="7" t="s">
        <v>10</v>
      </c>
      <c r="D5" s="7" t="str">
        <f>"唐允桃"</f>
        <v>唐允桃</v>
      </c>
      <c r="E5" s="7" t="str">
        <f>"临床医学"</f>
        <v>临床医学</v>
      </c>
      <c r="F5" s="7" t="str">
        <f>"2020.07"</f>
        <v>2020.07</v>
      </c>
      <c r="G5" s="7" t="str">
        <f t="shared" si="0"/>
        <v>本科</v>
      </c>
      <c r="H5" s="7" t="str">
        <f t="shared" si="1"/>
        <v>海南省儋州市</v>
      </c>
      <c r="I5" s="7"/>
    </row>
    <row r="6" spans="1:9" ht="30.75" customHeight="1">
      <c r="A6" s="6">
        <v>4</v>
      </c>
      <c r="B6" s="7" t="str">
        <f>"25222020080209090572"</f>
        <v>25222020080209090572</v>
      </c>
      <c r="C6" s="7" t="s">
        <v>11</v>
      </c>
      <c r="D6" s="7" t="str">
        <f>"李美香"</f>
        <v>李美香</v>
      </c>
      <c r="E6" s="7" t="str">
        <f aca="true" t="shared" si="2" ref="E6:E15">"预防医学"</f>
        <v>预防医学</v>
      </c>
      <c r="F6" s="7" t="str">
        <f>"2020.06"</f>
        <v>2020.06</v>
      </c>
      <c r="G6" s="7" t="str">
        <f t="shared" si="0"/>
        <v>本科</v>
      </c>
      <c r="H6" s="7" t="str">
        <f>"海南儋州"</f>
        <v>海南儋州</v>
      </c>
      <c r="I6" s="7"/>
    </row>
    <row r="7" spans="1:9" ht="30.75" customHeight="1">
      <c r="A7" s="6">
        <v>5</v>
      </c>
      <c r="B7" s="7" t="str">
        <f>"252220200802153806393"</f>
        <v>252220200802153806393</v>
      </c>
      <c r="C7" s="7" t="s">
        <v>11</v>
      </c>
      <c r="D7" s="7" t="str">
        <f>"李扬娜"</f>
        <v>李扬娜</v>
      </c>
      <c r="E7" s="7" t="str">
        <f t="shared" si="2"/>
        <v>预防医学</v>
      </c>
      <c r="F7" s="7" t="str">
        <f>"2020.6"</f>
        <v>2020.6</v>
      </c>
      <c r="G7" s="7" t="str">
        <f t="shared" si="0"/>
        <v>本科</v>
      </c>
      <c r="H7" s="7" t="str">
        <f t="shared" si="1"/>
        <v>海南省儋州市</v>
      </c>
      <c r="I7" s="7"/>
    </row>
    <row r="8" spans="1:9" ht="30.75" customHeight="1">
      <c r="A8" s="6">
        <v>6</v>
      </c>
      <c r="B8" s="7" t="str">
        <f>"252220200802154540400"</f>
        <v>252220200802154540400</v>
      </c>
      <c r="C8" s="7" t="s">
        <v>11</v>
      </c>
      <c r="D8" s="7" t="str">
        <f>"吴彩井"</f>
        <v>吴彩井</v>
      </c>
      <c r="E8" s="7" t="str">
        <f t="shared" si="2"/>
        <v>预防医学</v>
      </c>
      <c r="F8" s="7" t="str">
        <f>"2020.06"</f>
        <v>2020.06</v>
      </c>
      <c r="G8" s="7" t="str">
        <f t="shared" si="0"/>
        <v>本科</v>
      </c>
      <c r="H8" s="7" t="str">
        <f>"海南省儋州市"</f>
        <v>海南省儋州市</v>
      </c>
      <c r="I8" s="7"/>
    </row>
    <row r="9" spans="1:9" ht="30.75" customHeight="1">
      <c r="A9" s="6">
        <v>7</v>
      </c>
      <c r="B9" s="7" t="str">
        <f>"252220200802182749486"</f>
        <v>252220200802182749486</v>
      </c>
      <c r="C9" s="7" t="s">
        <v>11</v>
      </c>
      <c r="D9" s="7" t="str">
        <f>"李丽"</f>
        <v>李丽</v>
      </c>
      <c r="E9" s="7" t="str">
        <f t="shared" si="2"/>
        <v>预防医学</v>
      </c>
      <c r="F9" s="7" t="str">
        <f>"2020.07"</f>
        <v>2020.07</v>
      </c>
      <c r="G9" s="7" t="str">
        <f t="shared" si="0"/>
        <v>本科</v>
      </c>
      <c r="H9" s="7" t="str">
        <f>"海南儋州"</f>
        <v>海南儋州</v>
      </c>
      <c r="I9" s="7"/>
    </row>
    <row r="10" spans="1:9" ht="30.75" customHeight="1">
      <c r="A10" s="6">
        <v>8</v>
      </c>
      <c r="B10" s="7" t="str">
        <f>"252220200803000822618"</f>
        <v>252220200803000822618</v>
      </c>
      <c r="C10" s="7" t="s">
        <v>11</v>
      </c>
      <c r="D10" s="7" t="str">
        <f>"许士兰"</f>
        <v>许士兰</v>
      </c>
      <c r="E10" s="7" t="str">
        <f t="shared" si="2"/>
        <v>预防医学</v>
      </c>
      <c r="F10" s="7" t="str">
        <f>"2020.06"</f>
        <v>2020.06</v>
      </c>
      <c r="G10" s="7" t="str">
        <f t="shared" si="0"/>
        <v>本科</v>
      </c>
      <c r="H10" s="7" t="str">
        <f>"海南儋州"</f>
        <v>海南儋州</v>
      </c>
      <c r="I10" s="7"/>
    </row>
    <row r="11" spans="1:9" ht="30.75" customHeight="1">
      <c r="A11" s="6">
        <v>9</v>
      </c>
      <c r="B11" s="7" t="str">
        <f>"252220200803115446785"</f>
        <v>252220200803115446785</v>
      </c>
      <c r="C11" s="7" t="s">
        <v>11</v>
      </c>
      <c r="D11" s="7" t="str">
        <f>"羊俊秋"</f>
        <v>羊俊秋</v>
      </c>
      <c r="E11" s="7" t="str">
        <f t="shared" si="2"/>
        <v>预防医学</v>
      </c>
      <c r="F11" s="7" t="str">
        <f>"2020.06"</f>
        <v>2020.06</v>
      </c>
      <c r="G11" s="7" t="str">
        <f t="shared" si="0"/>
        <v>本科</v>
      </c>
      <c r="H11" s="7" t="str">
        <f>"海南省洋浦经济开发区"</f>
        <v>海南省洋浦经济开发区</v>
      </c>
      <c r="I11" s="7" t="s">
        <v>12</v>
      </c>
    </row>
    <row r="12" spans="1:9" ht="30.75" customHeight="1">
      <c r="A12" s="6">
        <v>10</v>
      </c>
      <c r="B12" s="7" t="str">
        <f>"2522202008041003541107"</f>
        <v>2522202008041003541107</v>
      </c>
      <c r="C12" s="7" t="s">
        <v>11</v>
      </c>
      <c r="D12" s="7" t="str">
        <f>"陈孟桃"</f>
        <v>陈孟桃</v>
      </c>
      <c r="E12" s="7" t="str">
        <f t="shared" si="2"/>
        <v>预防医学</v>
      </c>
      <c r="F12" s="7" t="str">
        <f>"2020年7月"</f>
        <v>2020年7月</v>
      </c>
      <c r="G12" s="7" t="str">
        <f t="shared" si="0"/>
        <v>本科</v>
      </c>
      <c r="H12" s="7" t="str">
        <f>"海南省儋州市"</f>
        <v>海南省儋州市</v>
      </c>
      <c r="I12" s="7"/>
    </row>
    <row r="13" spans="1:9" ht="30.75" customHeight="1">
      <c r="A13" s="6">
        <v>11</v>
      </c>
      <c r="B13" s="7" t="str">
        <f>"2522202008041800021271"</f>
        <v>2522202008041800021271</v>
      </c>
      <c r="C13" s="7" t="s">
        <v>11</v>
      </c>
      <c r="D13" s="7" t="str">
        <f>"李爱民"</f>
        <v>李爱民</v>
      </c>
      <c r="E13" s="7" t="str">
        <f t="shared" si="2"/>
        <v>预防医学</v>
      </c>
      <c r="F13" s="7" t="str">
        <f>"2020.07"</f>
        <v>2020.07</v>
      </c>
      <c r="G13" s="7" t="str">
        <f t="shared" si="0"/>
        <v>本科</v>
      </c>
      <c r="H13" s="7" t="str">
        <f>"海南儋州"</f>
        <v>海南儋州</v>
      </c>
      <c r="I13" s="7"/>
    </row>
    <row r="14" spans="1:9" ht="30.75" customHeight="1">
      <c r="A14" s="6">
        <v>12</v>
      </c>
      <c r="B14" s="7" t="str">
        <f>"2522202008051148091435"</f>
        <v>2522202008051148091435</v>
      </c>
      <c r="C14" s="7" t="s">
        <v>11</v>
      </c>
      <c r="D14" s="7" t="str">
        <f>"钟文瑜"</f>
        <v>钟文瑜</v>
      </c>
      <c r="E14" s="7" t="str">
        <f t="shared" si="2"/>
        <v>预防医学</v>
      </c>
      <c r="F14" s="7" t="str">
        <f>"2020.06"</f>
        <v>2020.06</v>
      </c>
      <c r="G14" s="7" t="str">
        <f t="shared" si="0"/>
        <v>本科</v>
      </c>
      <c r="H14" s="7" t="str">
        <f>"海南儋州"</f>
        <v>海南儋州</v>
      </c>
      <c r="I14" s="7"/>
    </row>
    <row r="15" spans="1:9" ht="30.75" customHeight="1">
      <c r="A15" s="6">
        <v>13</v>
      </c>
      <c r="B15" s="7" t="str">
        <f>"2522202008071502341835"</f>
        <v>2522202008071502341835</v>
      </c>
      <c r="C15" s="7" t="s">
        <v>11</v>
      </c>
      <c r="D15" s="7" t="str">
        <f>"陈焕军"</f>
        <v>陈焕军</v>
      </c>
      <c r="E15" s="7" t="str">
        <f t="shared" si="2"/>
        <v>预防医学</v>
      </c>
      <c r="F15" s="7" t="str">
        <f>"2020.7"</f>
        <v>2020.7</v>
      </c>
      <c r="G15" s="7" t="str">
        <f t="shared" si="0"/>
        <v>本科</v>
      </c>
      <c r="H15" s="7" t="str">
        <f aca="true" t="shared" si="3" ref="H15:H19">"海南省儋州市"</f>
        <v>海南省儋州市</v>
      </c>
      <c r="I15" s="7"/>
    </row>
    <row r="16" spans="1:9" ht="30.75" customHeight="1">
      <c r="A16" s="6">
        <v>14</v>
      </c>
      <c r="B16" s="7" t="str">
        <f>"2522202008041146351160"</f>
        <v>2522202008041146351160</v>
      </c>
      <c r="C16" s="7" t="s">
        <v>13</v>
      </c>
      <c r="D16" s="7" t="str">
        <f>"梁如妮"</f>
        <v>梁如妮</v>
      </c>
      <c r="E16" s="7" t="str">
        <f>"临床医学"</f>
        <v>临床医学</v>
      </c>
      <c r="F16" s="7" t="str">
        <f>"2020.06"</f>
        <v>2020.06</v>
      </c>
      <c r="G16" s="7" t="str">
        <f t="shared" si="0"/>
        <v>本科</v>
      </c>
      <c r="H16" s="7" t="str">
        <f t="shared" si="3"/>
        <v>海南省儋州市</v>
      </c>
      <c r="I16" s="7"/>
    </row>
    <row r="17" spans="1:9" ht="30.75" customHeight="1">
      <c r="A17" s="6">
        <v>15</v>
      </c>
      <c r="B17" s="7" t="str">
        <f>"2522202008042205011344"</f>
        <v>2522202008042205011344</v>
      </c>
      <c r="C17" s="7" t="s">
        <v>13</v>
      </c>
      <c r="D17" s="7" t="str">
        <f>"许科"</f>
        <v>许科</v>
      </c>
      <c r="E17" s="7" t="str">
        <f>"临床医学"</f>
        <v>临床医学</v>
      </c>
      <c r="F17" s="7" t="str">
        <f>"2020.07.01"</f>
        <v>2020.07.01</v>
      </c>
      <c r="G17" s="7" t="str">
        <f t="shared" si="0"/>
        <v>本科</v>
      </c>
      <c r="H17" s="7" t="str">
        <f>"海南儋州"</f>
        <v>海南儋州</v>
      </c>
      <c r="I17" s="7"/>
    </row>
    <row r="18" spans="1:9" ht="30.75" customHeight="1">
      <c r="A18" s="6">
        <v>16</v>
      </c>
      <c r="B18" s="7" t="str">
        <f>"2522202008081105311878"</f>
        <v>2522202008081105311878</v>
      </c>
      <c r="C18" s="7" t="s">
        <v>13</v>
      </c>
      <c r="D18" s="7" t="str">
        <f>"周小荣"</f>
        <v>周小荣</v>
      </c>
      <c r="E18" s="7" t="str">
        <f>"临床医学"</f>
        <v>临床医学</v>
      </c>
      <c r="F18" s="7" t="str">
        <f>"2020年7月"</f>
        <v>2020年7月</v>
      </c>
      <c r="G18" s="7" t="str">
        <f t="shared" si="0"/>
        <v>本科</v>
      </c>
      <c r="H18" s="7" t="str">
        <f>"海南儋州"</f>
        <v>海南儋州</v>
      </c>
      <c r="I18" s="7"/>
    </row>
    <row r="19" spans="1:9" ht="30.75" customHeight="1">
      <c r="A19" s="6">
        <v>17</v>
      </c>
      <c r="B19" s="7" t="str">
        <f>"252220200802103350161"</f>
        <v>252220200802103350161</v>
      </c>
      <c r="C19" s="7" t="s">
        <v>14</v>
      </c>
      <c r="D19" s="7" t="str">
        <f>"孙美秀"</f>
        <v>孙美秀</v>
      </c>
      <c r="E19" s="7" t="str">
        <f>"医学影像学"</f>
        <v>医学影像学</v>
      </c>
      <c r="F19" s="7" t="str">
        <f>"2020.06.30"</f>
        <v>2020.06.30</v>
      </c>
      <c r="G19" s="7" t="str">
        <f t="shared" si="0"/>
        <v>本科</v>
      </c>
      <c r="H19" s="7" t="str">
        <f t="shared" si="3"/>
        <v>海南省儋州市</v>
      </c>
      <c r="I19" s="7"/>
    </row>
    <row r="20" spans="1:9" ht="30.75" customHeight="1">
      <c r="A20" s="6">
        <v>18</v>
      </c>
      <c r="B20" s="7" t="str">
        <f>"252220200802134835342"</f>
        <v>252220200802134835342</v>
      </c>
      <c r="C20" s="7" t="s">
        <v>14</v>
      </c>
      <c r="D20" s="7" t="str">
        <f>"钟彩芳"</f>
        <v>钟彩芳</v>
      </c>
      <c r="E20" s="7" t="str">
        <f>"临床医学"</f>
        <v>临床医学</v>
      </c>
      <c r="F20" s="7" t="str">
        <f>"2020.06"</f>
        <v>2020.06</v>
      </c>
      <c r="G20" s="7" t="str">
        <f t="shared" si="0"/>
        <v>本科</v>
      </c>
      <c r="H20" s="7" t="str">
        <f>"海南儋州"</f>
        <v>海南儋州</v>
      </c>
      <c r="I20" s="7"/>
    </row>
    <row r="21" spans="1:9" ht="30.75" customHeight="1">
      <c r="A21" s="6">
        <v>19</v>
      </c>
      <c r="B21" s="7" t="str">
        <f>"2522202008051135111431"</f>
        <v>2522202008051135111431</v>
      </c>
      <c r="C21" s="7" t="s">
        <v>14</v>
      </c>
      <c r="D21" s="7" t="str">
        <f>"何应进"</f>
        <v>何应进</v>
      </c>
      <c r="E21" s="7" t="str">
        <f>"临床医学"</f>
        <v>临床医学</v>
      </c>
      <c r="F21" s="7" t="str">
        <f>"2020.07"</f>
        <v>2020.07</v>
      </c>
      <c r="G21" s="7" t="str">
        <f t="shared" si="0"/>
        <v>本科</v>
      </c>
      <c r="H21" s="7" t="str">
        <f>"海南省儋州市"</f>
        <v>海南省儋州市</v>
      </c>
      <c r="I21" s="7"/>
    </row>
    <row r="22" spans="1:9" ht="30.75" customHeight="1">
      <c r="A22" s="6">
        <v>20</v>
      </c>
      <c r="B22" s="7" t="str">
        <f>"2522202008051230251445"</f>
        <v>2522202008051230251445</v>
      </c>
      <c r="C22" s="7" t="s">
        <v>14</v>
      </c>
      <c r="D22" s="7" t="str">
        <f>"苏日教"</f>
        <v>苏日教</v>
      </c>
      <c r="E22" s="7" t="str">
        <f>"医学影像学"</f>
        <v>医学影像学</v>
      </c>
      <c r="F22" s="7" t="str">
        <f aca="true" t="shared" si="4" ref="F22:F32">"2020.06"</f>
        <v>2020.06</v>
      </c>
      <c r="G22" s="7" t="str">
        <f t="shared" si="0"/>
        <v>本科</v>
      </c>
      <c r="H22" s="7" t="str">
        <f>"海南儋州"</f>
        <v>海南儋州</v>
      </c>
      <c r="I22" s="7"/>
    </row>
    <row r="23" spans="1:9" ht="30.75" customHeight="1">
      <c r="A23" s="6">
        <v>21</v>
      </c>
      <c r="B23" s="7" t="str">
        <f>"25222020080209014766"</f>
        <v>25222020080209014766</v>
      </c>
      <c r="C23" s="7" t="s">
        <v>15</v>
      </c>
      <c r="D23" s="7" t="str">
        <f>"黎新宇"</f>
        <v>黎新宇</v>
      </c>
      <c r="E23" s="7" t="str">
        <f>"医学影像学"</f>
        <v>医学影像学</v>
      </c>
      <c r="F23" s="7" t="str">
        <f t="shared" si="4"/>
        <v>2020.06</v>
      </c>
      <c r="G23" s="7" t="str">
        <f t="shared" si="0"/>
        <v>本科</v>
      </c>
      <c r="H23" s="7" t="str">
        <f>"海南儋州"</f>
        <v>海南儋州</v>
      </c>
      <c r="I23" s="7"/>
    </row>
    <row r="24" spans="1:9" ht="30.75" customHeight="1">
      <c r="A24" s="6">
        <v>22</v>
      </c>
      <c r="B24" s="7" t="str">
        <f>"252220200802113555240"</f>
        <v>252220200802113555240</v>
      </c>
      <c r="C24" s="7" t="s">
        <v>15</v>
      </c>
      <c r="D24" s="7" t="str">
        <f>"岑琼英"</f>
        <v>岑琼英</v>
      </c>
      <c r="E24" s="7" t="str">
        <f>"医学影像学"</f>
        <v>医学影像学</v>
      </c>
      <c r="F24" s="7" t="str">
        <f t="shared" si="4"/>
        <v>2020.06</v>
      </c>
      <c r="G24" s="7" t="str">
        <f t="shared" si="0"/>
        <v>本科</v>
      </c>
      <c r="H24" s="7" t="str">
        <f>"海南儋州"</f>
        <v>海南儋州</v>
      </c>
      <c r="I24" s="7"/>
    </row>
    <row r="25" spans="1:9" ht="30.75" customHeight="1">
      <c r="A25" s="6">
        <v>23</v>
      </c>
      <c r="B25" s="7" t="str">
        <f>"252220200802160130412"</f>
        <v>252220200802160130412</v>
      </c>
      <c r="C25" s="7" t="s">
        <v>15</v>
      </c>
      <c r="D25" s="7" t="str">
        <f>"王梅昧"</f>
        <v>王梅昧</v>
      </c>
      <c r="E25" s="7" t="str">
        <f>"医学影象学"</f>
        <v>医学影象学</v>
      </c>
      <c r="F25" s="7" t="str">
        <f t="shared" si="4"/>
        <v>2020.06</v>
      </c>
      <c r="G25" s="7" t="str">
        <f t="shared" si="0"/>
        <v>本科</v>
      </c>
      <c r="H25" s="7" t="str">
        <f>"海南省儋州市"</f>
        <v>海南省儋州市</v>
      </c>
      <c r="I25" s="7"/>
    </row>
    <row r="26" spans="1:9" ht="30.75" customHeight="1">
      <c r="A26" s="6">
        <v>24</v>
      </c>
      <c r="B26" s="7" t="str">
        <f>"252220200802185750499"</f>
        <v>252220200802185750499</v>
      </c>
      <c r="C26" s="7" t="s">
        <v>15</v>
      </c>
      <c r="D26" s="7" t="str">
        <f>"徐伟玲"</f>
        <v>徐伟玲</v>
      </c>
      <c r="E26" s="7" t="str">
        <f>"医学影像学"</f>
        <v>医学影像学</v>
      </c>
      <c r="F26" s="7" t="str">
        <f t="shared" si="4"/>
        <v>2020.06</v>
      </c>
      <c r="G26" s="7" t="str">
        <f t="shared" si="0"/>
        <v>本科</v>
      </c>
      <c r="H26" s="7" t="str">
        <f>"海南省儋州市"</f>
        <v>海南省儋州市</v>
      </c>
      <c r="I26" s="7"/>
    </row>
    <row r="27" spans="1:9" ht="30.75" customHeight="1">
      <c r="A27" s="6">
        <v>25</v>
      </c>
      <c r="B27" s="7" t="str">
        <f>"2522202008032315171062"</f>
        <v>2522202008032315171062</v>
      </c>
      <c r="C27" s="7" t="s">
        <v>15</v>
      </c>
      <c r="D27" s="7" t="str">
        <f>"邱康迪"</f>
        <v>邱康迪</v>
      </c>
      <c r="E27" s="7" t="str">
        <f>"医学影像学"</f>
        <v>医学影像学</v>
      </c>
      <c r="F27" s="7" t="str">
        <f t="shared" si="4"/>
        <v>2020.06</v>
      </c>
      <c r="G27" s="7" t="str">
        <f t="shared" si="0"/>
        <v>本科</v>
      </c>
      <c r="H27" s="7" t="str">
        <f>"海南省儋州市"</f>
        <v>海南省儋州市</v>
      </c>
      <c r="I27" s="7"/>
    </row>
    <row r="28" spans="1:9" ht="30.75" customHeight="1">
      <c r="A28" s="6">
        <v>26</v>
      </c>
      <c r="B28" s="7" t="str">
        <f>"252220200802102025146"</f>
        <v>252220200802102025146</v>
      </c>
      <c r="C28" s="7" t="s">
        <v>16</v>
      </c>
      <c r="D28" s="7" t="str">
        <f>"吴伟奇"</f>
        <v>吴伟奇</v>
      </c>
      <c r="E28" s="7" t="str">
        <f>"药学"</f>
        <v>药学</v>
      </c>
      <c r="F28" s="7" t="str">
        <f t="shared" si="4"/>
        <v>2020.06</v>
      </c>
      <c r="G28" s="7" t="str">
        <f aca="true" t="shared" si="5" ref="G28:G56">"本科"</f>
        <v>本科</v>
      </c>
      <c r="H28" s="7" t="str">
        <f>"海南儋州"</f>
        <v>海南儋州</v>
      </c>
      <c r="I28" s="7"/>
    </row>
    <row r="29" spans="1:9" ht="30.75" customHeight="1">
      <c r="A29" s="6">
        <v>27</v>
      </c>
      <c r="B29" s="7" t="str">
        <f>"252220200802112633225"</f>
        <v>252220200802112633225</v>
      </c>
      <c r="C29" s="7" t="s">
        <v>16</v>
      </c>
      <c r="D29" s="7" t="str">
        <f>"符壮月"</f>
        <v>符壮月</v>
      </c>
      <c r="E29" s="7" t="str">
        <f>"药学"</f>
        <v>药学</v>
      </c>
      <c r="F29" s="7" t="str">
        <f t="shared" si="4"/>
        <v>2020.06</v>
      </c>
      <c r="G29" s="7" t="str">
        <f t="shared" si="5"/>
        <v>本科</v>
      </c>
      <c r="H29" s="7" t="str">
        <f>"海南儋州"</f>
        <v>海南儋州</v>
      </c>
      <c r="I29" s="7"/>
    </row>
    <row r="30" spans="1:9" ht="30.75" customHeight="1">
      <c r="A30" s="6">
        <v>28</v>
      </c>
      <c r="B30" s="7" t="str">
        <f>"252220200802173556466"</f>
        <v>252220200802173556466</v>
      </c>
      <c r="C30" s="7" t="s">
        <v>16</v>
      </c>
      <c r="D30" s="7" t="str">
        <f>"羊广兰"</f>
        <v>羊广兰</v>
      </c>
      <c r="E30" s="7" t="str">
        <f>"药学"</f>
        <v>药学</v>
      </c>
      <c r="F30" s="7" t="str">
        <f t="shared" si="4"/>
        <v>2020.06</v>
      </c>
      <c r="G30" s="7" t="str">
        <f t="shared" si="5"/>
        <v>本科</v>
      </c>
      <c r="H30" s="7" t="str">
        <f>"海南省儋州市"</f>
        <v>海南省儋州市</v>
      </c>
      <c r="I30" s="7"/>
    </row>
    <row r="31" spans="1:9" ht="30.75" customHeight="1">
      <c r="A31" s="6">
        <v>29</v>
      </c>
      <c r="B31" s="7" t="str">
        <f>"2522202008061747321798"</f>
        <v>2522202008061747321798</v>
      </c>
      <c r="C31" s="7" t="s">
        <v>16</v>
      </c>
      <c r="D31" s="7" t="str">
        <f>"王娟"</f>
        <v>王娟</v>
      </c>
      <c r="E31" s="7" t="str">
        <f>"药学"</f>
        <v>药学</v>
      </c>
      <c r="F31" s="7" t="str">
        <f t="shared" si="4"/>
        <v>2020.06</v>
      </c>
      <c r="G31" s="7" t="str">
        <f t="shared" si="5"/>
        <v>本科</v>
      </c>
      <c r="H31" s="7" t="str">
        <f>"海南儋州"</f>
        <v>海南儋州</v>
      </c>
      <c r="I31" s="7"/>
    </row>
    <row r="32" spans="1:9" ht="30.75" customHeight="1">
      <c r="A32" s="6">
        <v>30</v>
      </c>
      <c r="B32" s="7" t="str">
        <f>"25222020080209105074"</f>
        <v>25222020080209105074</v>
      </c>
      <c r="C32" s="7" t="s">
        <v>17</v>
      </c>
      <c r="D32" s="7" t="str">
        <f>"王土爱"</f>
        <v>王土爱</v>
      </c>
      <c r="E32" s="7" t="str">
        <f>"法学"</f>
        <v>法学</v>
      </c>
      <c r="F32" s="7" t="str">
        <f t="shared" si="4"/>
        <v>2020.06</v>
      </c>
      <c r="G32" s="7" t="str">
        <f t="shared" si="5"/>
        <v>本科</v>
      </c>
      <c r="H32" s="7" t="str">
        <f>"海南省儋州市"</f>
        <v>海南省儋州市</v>
      </c>
      <c r="I32" s="7"/>
    </row>
    <row r="33" spans="1:9" ht="30.75" customHeight="1">
      <c r="A33" s="6">
        <v>31</v>
      </c>
      <c r="B33" s="7" t="str">
        <f>"252220200802142307354"</f>
        <v>252220200802142307354</v>
      </c>
      <c r="C33" s="7" t="s">
        <v>17</v>
      </c>
      <c r="D33" s="7" t="str">
        <f>"王新如"</f>
        <v>王新如</v>
      </c>
      <c r="E33" s="7" t="str">
        <f>"法学"</f>
        <v>法学</v>
      </c>
      <c r="F33" s="7" t="str">
        <f>"2020.07"</f>
        <v>2020.07</v>
      </c>
      <c r="G33" s="7" t="str">
        <f t="shared" si="5"/>
        <v>本科</v>
      </c>
      <c r="H33" s="7" t="str">
        <f>"海南儋州"</f>
        <v>海南儋州</v>
      </c>
      <c r="I33" s="7"/>
    </row>
    <row r="34" spans="1:9" ht="30.75" customHeight="1">
      <c r="A34" s="6">
        <v>32</v>
      </c>
      <c r="B34" s="7" t="str">
        <f>"252220200802143840363"</f>
        <v>252220200802143840363</v>
      </c>
      <c r="C34" s="7" t="s">
        <v>17</v>
      </c>
      <c r="D34" s="7" t="str">
        <f>"黄新媛"</f>
        <v>黄新媛</v>
      </c>
      <c r="E34" s="7" t="str">
        <f>"法学"</f>
        <v>法学</v>
      </c>
      <c r="F34" s="7" t="str">
        <f>"2020.06"</f>
        <v>2020.06</v>
      </c>
      <c r="G34" s="7" t="str">
        <f t="shared" si="5"/>
        <v>本科</v>
      </c>
      <c r="H34" s="7" t="str">
        <f>"海南儋州"</f>
        <v>海南儋州</v>
      </c>
      <c r="I34" s="7"/>
    </row>
    <row r="35" spans="1:9" ht="30.75" customHeight="1">
      <c r="A35" s="6">
        <v>33</v>
      </c>
      <c r="B35" s="7" t="str">
        <f>"252220200803092008676"</f>
        <v>252220200803092008676</v>
      </c>
      <c r="C35" s="7" t="s">
        <v>17</v>
      </c>
      <c r="D35" s="7" t="str">
        <f>"李艳"</f>
        <v>李艳</v>
      </c>
      <c r="E35" s="7" t="str">
        <f>"法学专业"</f>
        <v>法学专业</v>
      </c>
      <c r="F35" s="7" t="str">
        <f>"2020.6"</f>
        <v>2020.6</v>
      </c>
      <c r="G35" s="7" t="str">
        <f t="shared" si="5"/>
        <v>本科</v>
      </c>
      <c r="H35" s="7" t="str">
        <f>"海南省儋州市"</f>
        <v>海南省儋州市</v>
      </c>
      <c r="I35" s="7"/>
    </row>
    <row r="36" spans="1:9" ht="30.75" customHeight="1">
      <c r="A36" s="6">
        <v>34</v>
      </c>
      <c r="B36" s="7" t="str">
        <f>"252220200803123633802"</f>
        <v>252220200803123633802</v>
      </c>
      <c r="C36" s="7" t="s">
        <v>17</v>
      </c>
      <c r="D36" s="7" t="str">
        <f>"陈淑桃"</f>
        <v>陈淑桃</v>
      </c>
      <c r="E36" s="7" t="str">
        <f>"法学"</f>
        <v>法学</v>
      </c>
      <c r="F36" s="7" t="str">
        <f>"2020.06"</f>
        <v>2020.06</v>
      </c>
      <c r="G36" s="7" t="str">
        <f t="shared" si="5"/>
        <v>本科</v>
      </c>
      <c r="H36" s="7" t="str">
        <f>"海南儋州"</f>
        <v>海南儋州</v>
      </c>
      <c r="I36" s="7"/>
    </row>
    <row r="37" spans="1:9" ht="30.75" customHeight="1">
      <c r="A37" s="6">
        <v>35</v>
      </c>
      <c r="B37" s="7" t="str">
        <f>"2522202008062018281808"</f>
        <v>2522202008062018281808</v>
      </c>
      <c r="C37" s="7" t="s">
        <v>17</v>
      </c>
      <c r="D37" s="7" t="str">
        <f>"杨华秀"</f>
        <v>杨华秀</v>
      </c>
      <c r="E37" s="7" t="str">
        <f>"法学"</f>
        <v>法学</v>
      </c>
      <c r="F37" s="7" t="str">
        <f>"2020.06"</f>
        <v>2020.06</v>
      </c>
      <c r="G37" s="7" t="str">
        <f t="shared" si="5"/>
        <v>本科</v>
      </c>
      <c r="H37" s="7" t="str">
        <f>"海南儋州"</f>
        <v>海南儋州</v>
      </c>
      <c r="I37" s="7"/>
    </row>
    <row r="38" spans="1:9" ht="30.75" customHeight="1">
      <c r="A38" s="6">
        <v>36</v>
      </c>
      <c r="B38" s="7" t="str">
        <f>"2522202008072037211859"</f>
        <v>2522202008072037211859</v>
      </c>
      <c r="C38" s="7" t="s">
        <v>17</v>
      </c>
      <c r="D38" s="7" t="str">
        <f>"刘忆秀"</f>
        <v>刘忆秀</v>
      </c>
      <c r="E38" s="7" t="str">
        <f>"法学"</f>
        <v>法学</v>
      </c>
      <c r="F38" s="7" t="str">
        <f>"2020.06"</f>
        <v>2020.06</v>
      </c>
      <c r="G38" s="7" t="str">
        <f t="shared" si="5"/>
        <v>本科</v>
      </c>
      <c r="H38" s="7" t="str">
        <f>"海南儋州"</f>
        <v>海南儋州</v>
      </c>
      <c r="I38" s="7"/>
    </row>
    <row r="39" spans="1:9" ht="30.75" customHeight="1">
      <c r="A39" s="6">
        <v>37</v>
      </c>
      <c r="B39" s="7" t="str">
        <f>"252220200803123655803"</f>
        <v>252220200803123655803</v>
      </c>
      <c r="C39" s="7" t="s">
        <v>18</v>
      </c>
      <c r="D39" s="7" t="str">
        <f>"李秋杰"</f>
        <v>李秋杰</v>
      </c>
      <c r="E39" s="7" t="str">
        <f>"临床医学"</f>
        <v>临床医学</v>
      </c>
      <c r="F39" s="7" t="str">
        <f>"2020.7.1"</f>
        <v>2020.7.1</v>
      </c>
      <c r="G39" s="7" t="str">
        <f t="shared" si="5"/>
        <v>本科</v>
      </c>
      <c r="H39" s="7" t="str">
        <f>"海南省儋州市"</f>
        <v>海南省儋州市</v>
      </c>
      <c r="I39" s="7"/>
    </row>
    <row r="40" spans="1:9" ht="30.75" customHeight="1">
      <c r="A40" s="6">
        <v>38</v>
      </c>
      <c r="B40" s="7" t="str">
        <f>"252220200803173723950"</f>
        <v>252220200803173723950</v>
      </c>
      <c r="C40" s="7" t="s">
        <v>18</v>
      </c>
      <c r="D40" s="7" t="str">
        <f>"符国卿"</f>
        <v>符国卿</v>
      </c>
      <c r="E40" s="7" t="str">
        <f>"临床医学"</f>
        <v>临床医学</v>
      </c>
      <c r="F40" s="7" t="str">
        <f>"2020.06"</f>
        <v>2020.06</v>
      </c>
      <c r="G40" s="7" t="str">
        <f t="shared" si="5"/>
        <v>本科</v>
      </c>
      <c r="H40" s="7" t="str">
        <f aca="true" t="shared" si="6" ref="H40:H45">"海南省儋州市"</f>
        <v>海南省儋州市</v>
      </c>
      <c r="I40" s="7"/>
    </row>
    <row r="41" spans="1:9" ht="30.75" customHeight="1">
      <c r="A41" s="6">
        <v>39</v>
      </c>
      <c r="B41" s="7" t="str">
        <f>"2522202008061131431686"</f>
        <v>2522202008061131431686</v>
      </c>
      <c r="C41" s="7" t="s">
        <v>18</v>
      </c>
      <c r="D41" s="7" t="str">
        <f>"钟小妹"</f>
        <v>钟小妹</v>
      </c>
      <c r="E41" s="7" t="str">
        <f>"临床医学"</f>
        <v>临床医学</v>
      </c>
      <c r="F41" s="7" t="str">
        <f>"2020.06"</f>
        <v>2020.06</v>
      </c>
      <c r="G41" s="7" t="str">
        <f t="shared" si="5"/>
        <v>本科</v>
      </c>
      <c r="H41" s="7" t="str">
        <f t="shared" si="6"/>
        <v>海南省儋州市</v>
      </c>
      <c r="I41" s="7"/>
    </row>
    <row r="42" spans="1:9" ht="30.75" customHeight="1">
      <c r="A42" s="6">
        <v>40</v>
      </c>
      <c r="B42" s="7" t="str">
        <f>"25222020080209293694"</f>
        <v>25222020080209293694</v>
      </c>
      <c r="C42" s="7" t="s">
        <v>19</v>
      </c>
      <c r="D42" s="7" t="str">
        <f>"王春泽"</f>
        <v>王春泽</v>
      </c>
      <c r="E42" s="7" t="str">
        <f aca="true" t="shared" si="7" ref="E42:E62">"护理学"</f>
        <v>护理学</v>
      </c>
      <c r="F42" s="7" t="str">
        <f>"2020.07.01"</f>
        <v>2020.07.01</v>
      </c>
      <c r="G42" s="7" t="str">
        <f t="shared" si="5"/>
        <v>本科</v>
      </c>
      <c r="H42" s="7" t="str">
        <f>"海南儋州"</f>
        <v>海南儋州</v>
      </c>
      <c r="I42" s="7"/>
    </row>
    <row r="43" spans="1:9" ht="30.75" customHeight="1">
      <c r="A43" s="6">
        <v>41</v>
      </c>
      <c r="B43" s="7" t="str">
        <f>"252220200802101450139"</f>
        <v>252220200802101450139</v>
      </c>
      <c r="C43" s="7" t="s">
        <v>19</v>
      </c>
      <c r="D43" s="7" t="str">
        <f>"高石娇"</f>
        <v>高石娇</v>
      </c>
      <c r="E43" s="7" t="str">
        <f t="shared" si="7"/>
        <v>护理学</v>
      </c>
      <c r="F43" s="7" t="str">
        <f>"2020.06"</f>
        <v>2020.06</v>
      </c>
      <c r="G43" s="7" t="str">
        <f t="shared" si="5"/>
        <v>本科</v>
      </c>
      <c r="H43" s="7" t="str">
        <f t="shared" si="6"/>
        <v>海南省儋州市</v>
      </c>
      <c r="I43" s="7"/>
    </row>
    <row r="44" spans="1:9" ht="30.75" customHeight="1">
      <c r="A44" s="6">
        <v>42</v>
      </c>
      <c r="B44" s="7" t="str">
        <f>"252220200802103621163"</f>
        <v>252220200802103621163</v>
      </c>
      <c r="C44" s="7" t="s">
        <v>19</v>
      </c>
      <c r="D44" s="7" t="str">
        <f>"邓国平"</f>
        <v>邓国平</v>
      </c>
      <c r="E44" s="7" t="str">
        <f t="shared" si="7"/>
        <v>护理学</v>
      </c>
      <c r="F44" s="7" t="str">
        <f>"2020.07.02"</f>
        <v>2020.07.02</v>
      </c>
      <c r="G44" s="7" t="str">
        <f t="shared" si="5"/>
        <v>本科</v>
      </c>
      <c r="H44" s="7" t="str">
        <f t="shared" si="6"/>
        <v>海南省儋州市</v>
      </c>
      <c r="I44" s="7"/>
    </row>
    <row r="45" spans="1:9" ht="30.75" customHeight="1">
      <c r="A45" s="6">
        <v>43</v>
      </c>
      <c r="B45" s="7" t="str">
        <f>"252220200802104617172"</f>
        <v>252220200802104617172</v>
      </c>
      <c r="C45" s="7" t="s">
        <v>19</v>
      </c>
      <c r="D45" s="7" t="str">
        <f>"吴炯娥"</f>
        <v>吴炯娥</v>
      </c>
      <c r="E45" s="7" t="str">
        <f t="shared" si="7"/>
        <v>护理学</v>
      </c>
      <c r="F45" s="7" t="str">
        <f>"2020年06月30日"</f>
        <v>2020年06月30日</v>
      </c>
      <c r="G45" s="7" t="str">
        <f t="shared" si="5"/>
        <v>本科</v>
      </c>
      <c r="H45" s="7" t="str">
        <f t="shared" si="6"/>
        <v>海南省儋州市</v>
      </c>
      <c r="I45" s="7"/>
    </row>
    <row r="46" spans="1:9" ht="30.75" customHeight="1">
      <c r="A46" s="6">
        <v>44</v>
      </c>
      <c r="B46" s="7" t="str">
        <f>"252220200802121603282"</f>
        <v>252220200802121603282</v>
      </c>
      <c r="C46" s="7" t="s">
        <v>19</v>
      </c>
      <c r="D46" s="7" t="str">
        <f>"黎玉楼"</f>
        <v>黎玉楼</v>
      </c>
      <c r="E46" s="7" t="str">
        <f t="shared" si="7"/>
        <v>护理学</v>
      </c>
      <c r="F46" s="7" t="str">
        <f>"2020.7"</f>
        <v>2020.7</v>
      </c>
      <c r="G46" s="7" t="str">
        <f t="shared" si="5"/>
        <v>本科</v>
      </c>
      <c r="H46" s="7" t="str">
        <f>"海南省儋州市"</f>
        <v>海南省儋州市</v>
      </c>
      <c r="I46" s="7"/>
    </row>
    <row r="47" spans="1:9" ht="30.75" customHeight="1">
      <c r="A47" s="6">
        <v>45</v>
      </c>
      <c r="B47" s="7" t="str">
        <f>"252220200802122846289"</f>
        <v>252220200802122846289</v>
      </c>
      <c r="C47" s="7" t="s">
        <v>19</v>
      </c>
      <c r="D47" s="7" t="str">
        <f>"李国倡"</f>
        <v>李国倡</v>
      </c>
      <c r="E47" s="7" t="str">
        <f t="shared" si="7"/>
        <v>护理学</v>
      </c>
      <c r="F47" s="7" t="str">
        <f>"2020.07"</f>
        <v>2020.07</v>
      </c>
      <c r="G47" s="7" t="str">
        <f t="shared" si="5"/>
        <v>本科</v>
      </c>
      <c r="H47" s="7" t="str">
        <f>"海南儋州"</f>
        <v>海南儋州</v>
      </c>
      <c r="I47" s="7"/>
    </row>
    <row r="48" spans="1:9" ht="30.75" customHeight="1">
      <c r="A48" s="6">
        <v>46</v>
      </c>
      <c r="B48" s="7" t="str">
        <f>"252220200802155149403"</f>
        <v>252220200802155149403</v>
      </c>
      <c r="C48" s="7" t="s">
        <v>19</v>
      </c>
      <c r="D48" s="7" t="str">
        <f>"郑惠秋"</f>
        <v>郑惠秋</v>
      </c>
      <c r="E48" s="7" t="str">
        <f t="shared" si="7"/>
        <v>护理学</v>
      </c>
      <c r="F48" s="7" t="str">
        <f>"2020.07"</f>
        <v>2020.07</v>
      </c>
      <c r="G48" s="7" t="str">
        <f t="shared" si="5"/>
        <v>本科</v>
      </c>
      <c r="H48" s="7" t="str">
        <f>"海南省儋州市"</f>
        <v>海南省儋州市</v>
      </c>
      <c r="I48" s="7"/>
    </row>
    <row r="49" spans="1:9" ht="30.75" customHeight="1">
      <c r="A49" s="6">
        <v>47</v>
      </c>
      <c r="B49" s="7" t="str">
        <f>"252220200802173547465"</f>
        <v>252220200802173547465</v>
      </c>
      <c r="C49" s="7" t="s">
        <v>19</v>
      </c>
      <c r="D49" s="7" t="str">
        <f>"叶康善"</f>
        <v>叶康善</v>
      </c>
      <c r="E49" s="7" t="str">
        <f t="shared" si="7"/>
        <v>护理学</v>
      </c>
      <c r="F49" s="7" t="str">
        <f>"2020.06"</f>
        <v>2020.06</v>
      </c>
      <c r="G49" s="7" t="str">
        <f t="shared" si="5"/>
        <v>本科</v>
      </c>
      <c r="H49" s="7" t="str">
        <f>"海南省儋州市"</f>
        <v>海南省儋州市</v>
      </c>
      <c r="I49" s="7"/>
    </row>
    <row r="50" spans="1:9" ht="30.75" customHeight="1">
      <c r="A50" s="6">
        <v>48</v>
      </c>
      <c r="B50" s="7" t="str">
        <f>"252220200802173622468"</f>
        <v>252220200802173622468</v>
      </c>
      <c r="C50" s="7" t="s">
        <v>19</v>
      </c>
      <c r="D50" s="7" t="str">
        <f>"叶春惠"</f>
        <v>叶春惠</v>
      </c>
      <c r="E50" s="7" t="str">
        <f t="shared" si="7"/>
        <v>护理学</v>
      </c>
      <c r="F50" s="7" t="str">
        <f>"2020.6"</f>
        <v>2020.6</v>
      </c>
      <c r="G50" s="7" t="str">
        <f t="shared" si="5"/>
        <v>本科</v>
      </c>
      <c r="H50" s="7" t="str">
        <f>"海南省儋州市"</f>
        <v>海南省儋州市</v>
      </c>
      <c r="I50" s="7"/>
    </row>
    <row r="51" spans="1:9" ht="30.75" customHeight="1">
      <c r="A51" s="6">
        <v>49</v>
      </c>
      <c r="B51" s="7" t="str">
        <f>"252220200802182230484"</f>
        <v>252220200802182230484</v>
      </c>
      <c r="C51" s="7" t="s">
        <v>19</v>
      </c>
      <c r="D51" s="7" t="str">
        <f>"陈婆丹"</f>
        <v>陈婆丹</v>
      </c>
      <c r="E51" s="7" t="str">
        <f t="shared" si="7"/>
        <v>护理学</v>
      </c>
      <c r="F51" s="7" t="str">
        <f>"2020.07"</f>
        <v>2020.07</v>
      </c>
      <c r="G51" s="7" t="str">
        <f t="shared" si="5"/>
        <v>本科</v>
      </c>
      <c r="H51" s="7" t="str">
        <f>"海南儋州"</f>
        <v>海南儋州</v>
      </c>
      <c r="I51" s="7"/>
    </row>
    <row r="52" spans="1:9" ht="30.75" customHeight="1">
      <c r="A52" s="6">
        <v>50</v>
      </c>
      <c r="B52" s="7" t="str">
        <f>"252220200802201002541"</f>
        <v>252220200802201002541</v>
      </c>
      <c r="C52" s="7" t="s">
        <v>19</v>
      </c>
      <c r="D52" s="7" t="str">
        <f>"林丽月"</f>
        <v>林丽月</v>
      </c>
      <c r="E52" s="7" t="str">
        <f t="shared" si="7"/>
        <v>护理学</v>
      </c>
      <c r="F52" s="7" t="str">
        <f>"2020.06"</f>
        <v>2020.06</v>
      </c>
      <c r="G52" s="7" t="str">
        <f t="shared" si="5"/>
        <v>本科</v>
      </c>
      <c r="H52" s="7" t="str">
        <f>"海南省儋州市"</f>
        <v>海南省儋州市</v>
      </c>
      <c r="I52" s="7"/>
    </row>
    <row r="53" spans="1:9" ht="30.75" customHeight="1">
      <c r="A53" s="6">
        <v>51</v>
      </c>
      <c r="B53" s="7" t="str">
        <f>"252220200802205252555"</f>
        <v>252220200802205252555</v>
      </c>
      <c r="C53" s="7" t="s">
        <v>19</v>
      </c>
      <c r="D53" s="7" t="str">
        <f>"何妹菊"</f>
        <v>何妹菊</v>
      </c>
      <c r="E53" s="7" t="str">
        <f t="shared" si="7"/>
        <v>护理学</v>
      </c>
      <c r="F53" s="7" t="str">
        <f>"2020.07"</f>
        <v>2020.07</v>
      </c>
      <c r="G53" s="7" t="str">
        <f t="shared" si="5"/>
        <v>本科</v>
      </c>
      <c r="H53" s="7" t="str">
        <f>"海南省儋州市"</f>
        <v>海南省儋州市</v>
      </c>
      <c r="I53" s="7"/>
    </row>
    <row r="54" spans="1:9" ht="30.75" customHeight="1">
      <c r="A54" s="6">
        <v>52</v>
      </c>
      <c r="B54" s="7" t="str">
        <f>"252220200802223031596"</f>
        <v>252220200802223031596</v>
      </c>
      <c r="C54" s="7" t="s">
        <v>19</v>
      </c>
      <c r="D54" s="7" t="str">
        <f>"郑金伦"</f>
        <v>郑金伦</v>
      </c>
      <c r="E54" s="7" t="str">
        <f t="shared" si="7"/>
        <v>护理学</v>
      </c>
      <c r="F54" s="7" t="str">
        <f>"2020.06"</f>
        <v>2020.06</v>
      </c>
      <c r="G54" s="7" t="str">
        <f t="shared" si="5"/>
        <v>本科</v>
      </c>
      <c r="H54" s="7" t="str">
        <f>"海南儋州"</f>
        <v>海南儋州</v>
      </c>
      <c r="I54" s="7"/>
    </row>
    <row r="55" spans="1:9" ht="30.75" customHeight="1">
      <c r="A55" s="6">
        <v>53</v>
      </c>
      <c r="B55" s="7" t="str">
        <f>"252220200803094403690"</f>
        <v>252220200803094403690</v>
      </c>
      <c r="C55" s="7" t="s">
        <v>19</v>
      </c>
      <c r="D55" s="7" t="str">
        <f>"吴秀女"</f>
        <v>吴秀女</v>
      </c>
      <c r="E55" s="7" t="str">
        <f t="shared" si="7"/>
        <v>护理学</v>
      </c>
      <c r="F55" s="7" t="str">
        <f>"2020.06"</f>
        <v>2020.06</v>
      </c>
      <c r="G55" s="7" t="str">
        <f t="shared" si="5"/>
        <v>本科</v>
      </c>
      <c r="H55" s="7" t="str">
        <f aca="true" t="shared" si="8" ref="H55:H59">"海南省儋州市"</f>
        <v>海南省儋州市</v>
      </c>
      <c r="I55" s="7"/>
    </row>
    <row r="56" spans="1:9" ht="30.75" customHeight="1">
      <c r="A56" s="6">
        <v>54</v>
      </c>
      <c r="B56" s="7" t="str">
        <f>"252220200803102100723"</f>
        <v>252220200803102100723</v>
      </c>
      <c r="C56" s="7" t="s">
        <v>19</v>
      </c>
      <c r="D56" s="7" t="str">
        <f>"林春美"</f>
        <v>林春美</v>
      </c>
      <c r="E56" s="7" t="str">
        <f t="shared" si="7"/>
        <v>护理学</v>
      </c>
      <c r="F56" s="7" t="str">
        <f>"2020.06"</f>
        <v>2020.06</v>
      </c>
      <c r="G56" s="7" t="str">
        <f t="shared" si="5"/>
        <v>本科</v>
      </c>
      <c r="H56" s="7" t="str">
        <f t="shared" si="8"/>
        <v>海南省儋州市</v>
      </c>
      <c r="I56" s="7"/>
    </row>
    <row r="57" spans="1:9" ht="30.75" customHeight="1">
      <c r="A57" s="6">
        <v>55</v>
      </c>
      <c r="B57" s="7" t="str">
        <f>"252220200803103835738"</f>
        <v>252220200803103835738</v>
      </c>
      <c r="C57" s="7" t="s">
        <v>19</v>
      </c>
      <c r="D57" s="7" t="str">
        <f>"谢发明"</f>
        <v>谢发明</v>
      </c>
      <c r="E57" s="7" t="str">
        <f t="shared" si="7"/>
        <v>护理学</v>
      </c>
      <c r="F57" s="7" t="str">
        <f>"2020年7月10日"</f>
        <v>2020年7月10日</v>
      </c>
      <c r="G57" s="7" t="str">
        <f aca="true" t="shared" si="9" ref="G57:G98">"本科"</f>
        <v>本科</v>
      </c>
      <c r="H57" s="7" t="str">
        <f t="shared" si="8"/>
        <v>海南省儋州市</v>
      </c>
      <c r="I57" s="7"/>
    </row>
    <row r="58" spans="1:9" ht="30.75" customHeight="1">
      <c r="A58" s="6">
        <v>56</v>
      </c>
      <c r="B58" s="7" t="str">
        <f>"252220200803111111763"</f>
        <v>252220200803111111763</v>
      </c>
      <c r="C58" s="7" t="s">
        <v>19</v>
      </c>
      <c r="D58" s="7" t="str">
        <f>"黄庆宽"</f>
        <v>黄庆宽</v>
      </c>
      <c r="E58" s="7" t="str">
        <f t="shared" si="7"/>
        <v>护理学</v>
      </c>
      <c r="F58" s="7" t="str">
        <f>"2020.07"</f>
        <v>2020.07</v>
      </c>
      <c r="G58" s="7" t="str">
        <f t="shared" si="9"/>
        <v>本科</v>
      </c>
      <c r="H58" s="7" t="str">
        <f>"海南儋州"</f>
        <v>海南儋州</v>
      </c>
      <c r="I58" s="7"/>
    </row>
    <row r="59" spans="1:9" ht="30.75" customHeight="1">
      <c r="A59" s="6">
        <v>57</v>
      </c>
      <c r="B59" s="7" t="str">
        <f>"252220200803145028850"</f>
        <v>252220200803145028850</v>
      </c>
      <c r="C59" s="7" t="s">
        <v>19</v>
      </c>
      <c r="D59" s="7" t="str">
        <f>"洪玉妹"</f>
        <v>洪玉妹</v>
      </c>
      <c r="E59" s="7" t="str">
        <f t="shared" si="7"/>
        <v>护理学</v>
      </c>
      <c r="F59" s="7" t="str">
        <f>"2020.07"</f>
        <v>2020.07</v>
      </c>
      <c r="G59" s="7" t="str">
        <f t="shared" si="9"/>
        <v>本科</v>
      </c>
      <c r="H59" s="7" t="str">
        <f t="shared" si="8"/>
        <v>海南省儋州市</v>
      </c>
      <c r="I59" s="7"/>
    </row>
    <row r="60" spans="1:9" ht="30.75" customHeight="1">
      <c r="A60" s="6">
        <v>58</v>
      </c>
      <c r="B60" s="7" t="str">
        <f>"252220200803150324857"</f>
        <v>252220200803150324857</v>
      </c>
      <c r="C60" s="7" t="s">
        <v>19</v>
      </c>
      <c r="D60" s="7" t="str">
        <f>"黄炳焕"</f>
        <v>黄炳焕</v>
      </c>
      <c r="E60" s="7" t="str">
        <f t="shared" si="7"/>
        <v>护理学</v>
      </c>
      <c r="F60" s="7" t="str">
        <f>"2020.06"</f>
        <v>2020.06</v>
      </c>
      <c r="G60" s="7" t="str">
        <f t="shared" si="9"/>
        <v>本科</v>
      </c>
      <c r="H60" s="7" t="str">
        <f>"海南儋州"</f>
        <v>海南儋州</v>
      </c>
      <c r="I60" s="7"/>
    </row>
    <row r="61" spans="1:9" ht="30.75" customHeight="1">
      <c r="A61" s="6">
        <v>59</v>
      </c>
      <c r="B61" s="7" t="str">
        <f>"2522202008032011491001"</f>
        <v>2522202008032011491001</v>
      </c>
      <c r="C61" s="7" t="s">
        <v>19</v>
      </c>
      <c r="D61" s="7" t="str">
        <f>"刘淑静"</f>
        <v>刘淑静</v>
      </c>
      <c r="E61" s="7" t="str">
        <f t="shared" si="7"/>
        <v>护理学</v>
      </c>
      <c r="F61" s="7" t="str">
        <f>"2020.07"</f>
        <v>2020.07</v>
      </c>
      <c r="G61" s="7" t="str">
        <f t="shared" si="9"/>
        <v>本科</v>
      </c>
      <c r="H61" s="7" t="str">
        <f>"海南儋州"</f>
        <v>海南儋州</v>
      </c>
      <c r="I61" s="7"/>
    </row>
    <row r="62" spans="1:9" ht="30.75" customHeight="1">
      <c r="A62" s="6">
        <v>60</v>
      </c>
      <c r="B62" s="7" t="str">
        <f>"2522202008032256471057"</f>
        <v>2522202008032256471057</v>
      </c>
      <c r="C62" s="7" t="s">
        <v>19</v>
      </c>
      <c r="D62" s="7" t="str">
        <f>"赵成娥"</f>
        <v>赵成娥</v>
      </c>
      <c r="E62" s="7" t="str">
        <f t="shared" si="7"/>
        <v>护理学</v>
      </c>
      <c r="F62" s="7" t="str">
        <f>"2020.06"</f>
        <v>2020.06</v>
      </c>
      <c r="G62" s="7" t="str">
        <f t="shared" si="9"/>
        <v>本科</v>
      </c>
      <c r="H62" s="7" t="str">
        <f aca="true" t="shared" si="10" ref="H62:H66">"海南省儋州市"</f>
        <v>海南省儋州市</v>
      </c>
      <c r="I62" s="7"/>
    </row>
    <row r="63" spans="1:9" ht="30.75" customHeight="1">
      <c r="A63" s="6">
        <v>61</v>
      </c>
      <c r="B63" s="7" t="str">
        <f>"2522202008041050331128"</f>
        <v>2522202008041050331128</v>
      </c>
      <c r="C63" s="7" t="s">
        <v>19</v>
      </c>
      <c r="D63" s="7" t="str">
        <f>"游刚"</f>
        <v>游刚</v>
      </c>
      <c r="E63" s="7" t="str">
        <f>"护理"</f>
        <v>护理</v>
      </c>
      <c r="F63" s="7" t="str">
        <f>"2020.06"</f>
        <v>2020.06</v>
      </c>
      <c r="G63" s="7" t="str">
        <f t="shared" si="9"/>
        <v>本科</v>
      </c>
      <c r="H63" s="7" t="str">
        <f t="shared" si="10"/>
        <v>海南省儋州市</v>
      </c>
      <c r="I63" s="7"/>
    </row>
    <row r="64" spans="1:9" ht="30.75" customHeight="1">
      <c r="A64" s="6">
        <v>62</v>
      </c>
      <c r="B64" s="7" t="str">
        <f>"2522202008041140331156"</f>
        <v>2522202008041140331156</v>
      </c>
      <c r="C64" s="7" t="s">
        <v>19</v>
      </c>
      <c r="D64" s="7" t="str">
        <f>"羊丽妃"</f>
        <v>羊丽妃</v>
      </c>
      <c r="E64" s="7" t="str">
        <f>"护理学"</f>
        <v>护理学</v>
      </c>
      <c r="F64" s="7" t="str">
        <f>"2020.06"</f>
        <v>2020.06</v>
      </c>
      <c r="G64" s="7" t="str">
        <f t="shared" si="9"/>
        <v>本科</v>
      </c>
      <c r="H64" s="7" t="str">
        <f t="shared" si="10"/>
        <v>海南省儋州市</v>
      </c>
      <c r="I64" s="7"/>
    </row>
    <row r="65" spans="1:9" ht="30.75" customHeight="1">
      <c r="A65" s="6">
        <v>63</v>
      </c>
      <c r="B65" s="7" t="str">
        <f>"2522202008041155131162"</f>
        <v>2522202008041155131162</v>
      </c>
      <c r="C65" s="7" t="s">
        <v>19</v>
      </c>
      <c r="D65" s="7" t="str">
        <f>"李丽花"</f>
        <v>李丽花</v>
      </c>
      <c r="E65" s="7" t="str">
        <f>"护理学"</f>
        <v>护理学</v>
      </c>
      <c r="F65" s="7" t="str">
        <f>"2020.07"</f>
        <v>2020.07</v>
      </c>
      <c r="G65" s="7" t="str">
        <f t="shared" si="9"/>
        <v>本科</v>
      </c>
      <c r="H65" s="7" t="str">
        <f>"海南儋州"</f>
        <v>海南儋州</v>
      </c>
      <c r="I65" s="7"/>
    </row>
    <row r="66" spans="1:9" ht="30.75" customHeight="1">
      <c r="A66" s="6">
        <v>64</v>
      </c>
      <c r="B66" s="7" t="str">
        <f>"2522202008041726201263"</f>
        <v>2522202008041726201263</v>
      </c>
      <c r="C66" s="7" t="s">
        <v>19</v>
      </c>
      <c r="D66" s="7" t="str">
        <f>"许丽川"</f>
        <v>许丽川</v>
      </c>
      <c r="E66" s="7" t="str">
        <f>"护理学"</f>
        <v>护理学</v>
      </c>
      <c r="F66" s="7" t="str">
        <f>"2020.07"</f>
        <v>2020.07</v>
      </c>
      <c r="G66" s="7" t="str">
        <f t="shared" si="9"/>
        <v>本科</v>
      </c>
      <c r="H66" s="7" t="str">
        <f t="shared" si="10"/>
        <v>海南省儋州市</v>
      </c>
      <c r="I66" s="7"/>
    </row>
    <row r="67" spans="1:9" ht="30.75" customHeight="1">
      <c r="A67" s="6">
        <v>65</v>
      </c>
      <c r="B67" s="7" t="str">
        <f>"2522202008042033361325"</f>
        <v>2522202008042033361325</v>
      </c>
      <c r="C67" s="7" t="s">
        <v>19</v>
      </c>
      <c r="D67" s="7" t="str">
        <f>"高桂梅"</f>
        <v>高桂梅</v>
      </c>
      <c r="E67" s="7" t="str">
        <f>"护理学"</f>
        <v>护理学</v>
      </c>
      <c r="F67" s="7" t="str">
        <f>"2020-06"</f>
        <v>2020-06</v>
      </c>
      <c r="G67" s="7" t="str">
        <f t="shared" si="9"/>
        <v>本科</v>
      </c>
      <c r="H67" s="7" t="str">
        <f>"海南儋州"</f>
        <v>海南儋州</v>
      </c>
      <c r="I67" s="7"/>
    </row>
    <row r="68" spans="1:9" ht="30.75" customHeight="1">
      <c r="A68" s="6">
        <v>66</v>
      </c>
      <c r="B68" s="7" t="str">
        <f>"2522202008042130591337"</f>
        <v>2522202008042130591337</v>
      </c>
      <c r="C68" s="7" t="s">
        <v>19</v>
      </c>
      <c r="D68" s="7" t="str">
        <f>"黎晓婷"</f>
        <v>黎晓婷</v>
      </c>
      <c r="E68" s="7" t="str">
        <f>"护理"</f>
        <v>护理</v>
      </c>
      <c r="F68" s="7" t="str">
        <f>"2020.06.30"</f>
        <v>2020.06.30</v>
      </c>
      <c r="G68" s="7" t="str">
        <f t="shared" si="9"/>
        <v>本科</v>
      </c>
      <c r="H68" s="7" t="str">
        <f>"海南省儋州市"</f>
        <v>海南省儋州市</v>
      </c>
      <c r="I68" s="7"/>
    </row>
    <row r="69" spans="1:9" ht="30.75" customHeight="1">
      <c r="A69" s="6">
        <v>67</v>
      </c>
      <c r="B69" s="7" t="str">
        <f>"2522202008050004031365"</f>
        <v>2522202008050004031365</v>
      </c>
      <c r="C69" s="7" t="s">
        <v>19</v>
      </c>
      <c r="D69" s="7" t="str">
        <f>"吴春萱"</f>
        <v>吴春萱</v>
      </c>
      <c r="E69" s="7" t="str">
        <f>"护理学"</f>
        <v>护理学</v>
      </c>
      <c r="F69" s="7" t="str">
        <f>"2020年6月"</f>
        <v>2020年6月</v>
      </c>
      <c r="G69" s="7" t="str">
        <f t="shared" si="9"/>
        <v>本科</v>
      </c>
      <c r="H69" s="7" t="str">
        <f>"海南儋州"</f>
        <v>海南儋州</v>
      </c>
      <c r="I69" s="7"/>
    </row>
    <row r="70" spans="1:9" ht="30.75" customHeight="1">
      <c r="A70" s="6">
        <v>68</v>
      </c>
      <c r="B70" s="7" t="str">
        <f>"2522202008051210351439"</f>
        <v>2522202008051210351439</v>
      </c>
      <c r="C70" s="7" t="s">
        <v>19</v>
      </c>
      <c r="D70" s="7" t="str">
        <f>"吴月娥"</f>
        <v>吴月娥</v>
      </c>
      <c r="E70" s="7" t="str">
        <f>"护理学"</f>
        <v>护理学</v>
      </c>
      <c r="F70" s="7" t="str">
        <f>"2020.06.30"</f>
        <v>2020.06.30</v>
      </c>
      <c r="G70" s="7" t="str">
        <f t="shared" si="9"/>
        <v>本科</v>
      </c>
      <c r="H70" s="7" t="str">
        <f>"海南儋州"</f>
        <v>海南儋州</v>
      </c>
      <c r="I70" s="7"/>
    </row>
    <row r="71" spans="1:9" ht="30.75" customHeight="1">
      <c r="A71" s="6">
        <v>69</v>
      </c>
      <c r="B71" s="7" t="str">
        <f>"2522202008051222531443"</f>
        <v>2522202008051222531443</v>
      </c>
      <c r="C71" s="7" t="s">
        <v>19</v>
      </c>
      <c r="D71" s="7" t="str">
        <f>"骆丽花"</f>
        <v>骆丽花</v>
      </c>
      <c r="E71" s="7" t="str">
        <f>"护理学"</f>
        <v>护理学</v>
      </c>
      <c r="F71" s="7" t="str">
        <f>"2020.06"</f>
        <v>2020.06</v>
      </c>
      <c r="G71" s="7" t="str">
        <f t="shared" si="9"/>
        <v>本科</v>
      </c>
      <c r="H71" s="7" t="str">
        <f>"海南儋州"</f>
        <v>海南儋州</v>
      </c>
      <c r="I71" s="7"/>
    </row>
    <row r="72" spans="1:9" ht="30.75" customHeight="1">
      <c r="A72" s="6">
        <v>70</v>
      </c>
      <c r="B72" s="7" t="str">
        <f>"2522202008051630121495"</f>
        <v>2522202008051630121495</v>
      </c>
      <c r="C72" s="7" t="s">
        <v>19</v>
      </c>
      <c r="D72" s="7" t="str">
        <f>"胡莲珠"</f>
        <v>胡莲珠</v>
      </c>
      <c r="E72" s="7" t="str">
        <f>"护理"</f>
        <v>护理</v>
      </c>
      <c r="F72" s="7" t="str">
        <f>"2020.06.30"</f>
        <v>2020.06.30</v>
      </c>
      <c r="G72" s="7" t="str">
        <f t="shared" si="9"/>
        <v>本科</v>
      </c>
      <c r="H72" s="7" t="str">
        <f>"海南儋州"</f>
        <v>海南儋州</v>
      </c>
      <c r="I72" s="7"/>
    </row>
    <row r="73" spans="1:9" ht="30.75" customHeight="1">
      <c r="A73" s="6">
        <v>71</v>
      </c>
      <c r="B73" s="7" t="str">
        <f>"2522202008051701531507"</f>
        <v>2522202008051701531507</v>
      </c>
      <c r="C73" s="7" t="s">
        <v>19</v>
      </c>
      <c r="D73" s="7" t="str">
        <f>"王秋妹"</f>
        <v>王秋妹</v>
      </c>
      <c r="E73" s="7" t="str">
        <f>"护理学"</f>
        <v>护理学</v>
      </c>
      <c r="F73" s="7" t="str">
        <f>"2020.07"</f>
        <v>2020.07</v>
      </c>
      <c r="G73" s="7" t="str">
        <f t="shared" si="9"/>
        <v>本科</v>
      </c>
      <c r="H73" s="7" t="str">
        <f>"海南儋州"</f>
        <v>海南儋州</v>
      </c>
      <c r="I73" s="7"/>
    </row>
    <row r="74" spans="1:9" ht="30.75" customHeight="1">
      <c r="A74" s="6">
        <v>72</v>
      </c>
      <c r="B74" s="7" t="str">
        <f>"2522202008061107321676"</f>
        <v>2522202008061107321676</v>
      </c>
      <c r="C74" s="7" t="s">
        <v>19</v>
      </c>
      <c r="D74" s="7" t="str">
        <f>"吴六娇"</f>
        <v>吴六娇</v>
      </c>
      <c r="E74" s="7" t="str">
        <f>"护理"</f>
        <v>护理</v>
      </c>
      <c r="F74" s="7" t="str">
        <f>"2020.06.30"</f>
        <v>2020.06.30</v>
      </c>
      <c r="G74" s="7" t="str">
        <f t="shared" si="9"/>
        <v>本科</v>
      </c>
      <c r="H74" s="7" t="str">
        <f>"海南省儋州市"</f>
        <v>海南省儋州市</v>
      </c>
      <c r="I74" s="7"/>
    </row>
    <row r="75" spans="1:9" ht="30.75" customHeight="1">
      <c r="A75" s="6">
        <v>73</v>
      </c>
      <c r="B75" s="7" t="str">
        <f>"2522202008061513531739"</f>
        <v>2522202008061513531739</v>
      </c>
      <c r="C75" s="7" t="s">
        <v>19</v>
      </c>
      <c r="D75" s="7" t="str">
        <f>"李娜"</f>
        <v>李娜</v>
      </c>
      <c r="E75" s="7" t="str">
        <f>"护理学"</f>
        <v>护理学</v>
      </c>
      <c r="F75" s="7" t="str">
        <f>"2020.06"</f>
        <v>2020.06</v>
      </c>
      <c r="G75" s="7" t="str">
        <f t="shared" si="9"/>
        <v>本科</v>
      </c>
      <c r="H75" s="7" t="str">
        <f>"海南儋州"</f>
        <v>海南儋州</v>
      </c>
      <c r="I75" s="7"/>
    </row>
    <row r="76" spans="1:9" ht="30.75" customHeight="1">
      <c r="A76" s="6">
        <v>74</v>
      </c>
      <c r="B76" s="7" t="str">
        <f>"2522202008081158121879"</f>
        <v>2522202008081158121879</v>
      </c>
      <c r="C76" s="7" t="s">
        <v>19</v>
      </c>
      <c r="D76" s="7" t="str">
        <f>"麦锦霞"</f>
        <v>麦锦霞</v>
      </c>
      <c r="E76" s="7" t="str">
        <f>"护理学"</f>
        <v>护理学</v>
      </c>
      <c r="F76" s="7" t="str">
        <f>"2020.06"</f>
        <v>2020.06</v>
      </c>
      <c r="G76" s="7" t="str">
        <f t="shared" si="9"/>
        <v>本科</v>
      </c>
      <c r="H76" s="7" t="str">
        <f>"海南儋州"</f>
        <v>海南儋州</v>
      </c>
      <c r="I76" s="7"/>
    </row>
    <row r="77" spans="1:9" ht="30.75" customHeight="1">
      <c r="A77" s="6">
        <v>75</v>
      </c>
      <c r="B77" s="7" t="str">
        <f>"2522202008081411081886"</f>
        <v>2522202008081411081886</v>
      </c>
      <c r="C77" s="7" t="s">
        <v>19</v>
      </c>
      <c r="D77" s="7" t="str">
        <f>"吴桂丹"</f>
        <v>吴桂丹</v>
      </c>
      <c r="E77" s="7" t="str">
        <f>"护理学"</f>
        <v>护理学</v>
      </c>
      <c r="F77" s="7" t="str">
        <f>"2020.07"</f>
        <v>2020.07</v>
      </c>
      <c r="G77" s="7" t="str">
        <f t="shared" si="9"/>
        <v>本科</v>
      </c>
      <c r="H77" s="7" t="str">
        <f>"海南儋州市"</f>
        <v>海南儋州市</v>
      </c>
      <c r="I77" s="7"/>
    </row>
    <row r="78" spans="1:9" ht="30.75" customHeight="1">
      <c r="A78" s="6">
        <v>76</v>
      </c>
      <c r="B78" s="7" t="str">
        <f>"2522202008081547441894"</f>
        <v>2522202008081547441894</v>
      </c>
      <c r="C78" s="7" t="s">
        <v>19</v>
      </c>
      <c r="D78" s="7" t="str">
        <f>"张爱"</f>
        <v>张爱</v>
      </c>
      <c r="E78" s="7" t="str">
        <f>"护理学专业"</f>
        <v>护理学专业</v>
      </c>
      <c r="F78" s="7" t="str">
        <f>"2020.07"</f>
        <v>2020.07</v>
      </c>
      <c r="G78" s="7" t="str">
        <f t="shared" si="9"/>
        <v>本科</v>
      </c>
      <c r="H78" s="7" t="str">
        <f>"海南儋州"</f>
        <v>海南儋州</v>
      </c>
      <c r="I78" s="7"/>
    </row>
    <row r="79" spans="1:9" ht="30.75" customHeight="1">
      <c r="A79" s="6">
        <v>77</v>
      </c>
      <c r="B79" s="7" t="str">
        <f>"2522202008081723431896"</f>
        <v>2522202008081723431896</v>
      </c>
      <c r="C79" s="7" t="s">
        <v>19</v>
      </c>
      <c r="D79" s="7" t="str">
        <f>"郑妞"</f>
        <v>郑妞</v>
      </c>
      <c r="E79" s="7" t="str">
        <f>"护理学"</f>
        <v>护理学</v>
      </c>
      <c r="F79" s="7" t="str">
        <f>"2020.07"</f>
        <v>2020.07</v>
      </c>
      <c r="G79" s="7" t="str">
        <f t="shared" si="9"/>
        <v>本科</v>
      </c>
      <c r="H79" s="7" t="str">
        <f>"海南省儋州市"</f>
        <v>海南省儋州市</v>
      </c>
      <c r="I79" s="7"/>
    </row>
    <row r="80" spans="1:9" ht="30.75" customHeight="1">
      <c r="A80" s="6">
        <v>78</v>
      </c>
      <c r="B80" s="7" t="str">
        <f>"2522202008020805364"</f>
        <v>2522202008020805364</v>
      </c>
      <c r="C80" s="7" t="s">
        <v>20</v>
      </c>
      <c r="D80" s="7" t="str">
        <f>"李小庆"</f>
        <v>李小庆</v>
      </c>
      <c r="E80" s="7" t="str">
        <f aca="true" t="shared" si="11" ref="E80:E87">"医学检验技术"</f>
        <v>医学检验技术</v>
      </c>
      <c r="F80" s="7" t="str">
        <f>"2020.06"</f>
        <v>2020.06</v>
      </c>
      <c r="G80" s="7" t="str">
        <f t="shared" si="9"/>
        <v>本科</v>
      </c>
      <c r="H80" s="7" t="str">
        <f>"海南省儋州市"</f>
        <v>海南省儋州市</v>
      </c>
      <c r="I80" s="7"/>
    </row>
    <row r="81" spans="1:9" ht="30.75" customHeight="1">
      <c r="A81" s="6">
        <v>79</v>
      </c>
      <c r="B81" s="7" t="str">
        <f>"25222020080208342236"</f>
        <v>25222020080208342236</v>
      </c>
      <c r="C81" s="7" t="s">
        <v>20</v>
      </c>
      <c r="D81" s="7" t="str">
        <f>"詹其多"</f>
        <v>詹其多</v>
      </c>
      <c r="E81" s="7" t="str">
        <f t="shared" si="11"/>
        <v>医学检验技术</v>
      </c>
      <c r="F81" s="7" t="str">
        <f>"2020-07-01"</f>
        <v>2020-07-01</v>
      </c>
      <c r="G81" s="7" t="str">
        <f t="shared" si="9"/>
        <v>本科</v>
      </c>
      <c r="H81" s="7" t="str">
        <f>"海南省儋州市"</f>
        <v>海南省儋州市</v>
      </c>
      <c r="I81" s="7"/>
    </row>
    <row r="82" spans="1:9" ht="30.75" customHeight="1">
      <c r="A82" s="6">
        <v>80</v>
      </c>
      <c r="B82" s="7" t="str">
        <f>"252220200802100511129"</f>
        <v>252220200802100511129</v>
      </c>
      <c r="C82" s="7" t="s">
        <v>20</v>
      </c>
      <c r="D82" s="7" t="str">
        <f>"汤运球"</f>
        <v>汤运球</v>
      </c>
      <c r="E82" s="7" t="str">
        <f t="shared" si="11"/>
        <v>医学检验技术</v>
      </c>
      <c r="F82" s="7" t="str">
        <f>"2020.06"</f>
        <v>2020.06</v>
      </c>
      <c r="G82" s="7" t="str">
        <f t="shared" si="9"/>
        <v>本科</v>
      </c>
      <c r="H82" s="7" t="str">
        <f>"海南儋州"</f>
        <v>海南儋州</v>
      </c>
      <c r="I82" s="7"/>
    </row>
    <row r="83" spans="1:9" ht="30.75" customHeight="1">
      <c r="A83" s="6">
        <v>81</v>
      </c>
      <c r="B83" s="7" t="str">
        <f>"252220200802103837165"</f>
        <v>252220200802103837165</v>
      </c>
      <c r="C83" s="7" t="s">
        <v>20</v>
      </c>
      <c r="D83" s="7" t="str">
        <f>"符梦雯"</f>
        <v>符梦雯</v>
      </c>
      <c r="E83" s="7" t="str">
        <f t="shared" si="11"/>
        <v>医学检验技术</v>
      </c>
      <c r="F83" s="7" t="str">
        <f>"2020.07"</f>
        <v>2020.07</v>
      </c>
      <c r="G83" s="7" t="str">
        <f t="shared" si="9"/>
        <v>本科</v>
      </c>
      <c r="H83" s="7" t="str">
        <f>"海南省儋州市和庆镇"</f>
        <v>海南省儋州市和庆镇</v>
      </c>
      <c r="I83" s="7"/>
    </row>
    <row r="84" spans="1:9" ht="30.75" customHeight="1">
      <c r="A84" s="6">
        <v>82</v>
      </c>
      <c r="B84" s="7" t="str">
        <f>"252220200802104627173"</f>
        <v>252220200802104627173</v>
      </c>
      <c r="C84" s="7" t="s">
        <v>20</v>
      </c>
      <c r="D84" s="7" t="str">
        <f>"陈小应"</f>
        <v>陈小应</v>
      </c>
      <c r="E84" s="7" t="str">
        <f t="shared" si="11"/>
        <v>医学检验技术</v>
      </c>
      <c r="F84" s="7" t="str">
        <f>"2020年7月"</f>
        <v>2020年7月</v>
      </c>
      <c r="G84" s="7" t="str">
        <f t="shared" si="9"/>
        <v>本科</v>
      </c>
      <c r="H84" s="7" t="str">
        <f>"海南省儋州市那大镇"</f>
        <v>海南省儋州市那大镇</v>
      </c>
      <c r="I84" s="7"/>
    </row>
    <row r="85" spans="1:9" ht="30.75" customHeight="1">
      <c r="A85" s="6">
        <v>83</v>
      </c>
      <c r="B85" s="7" t="str">
        <f>"252220200802120035266"</f>
        <v>252220200802120035266</v>
      </c>
      <c r="C85" s="7" t="s">
        <v>20</v>
      </c>
      <c r="D85" s="7" t="str">
        <f>"谭春红"</f>
        <v>谭春红</v>
      </c>
      <c r="E85" s="7" t="str">
        <f t="shared" si="11"/>
        <v>医学检验技术</v>
      </c>
      <c r="F85" s="7" t="str">
        <f>"2020.06"</f>
        <v>2020.06</v>
      </c>
      <c r="G85" s="7" t="str">
        <f t="shared" si="9"/>
        <v>本科</v>
      </c>
      <c r="H85" s="7" t="str">
        <f>"海南省儋州市"</f>
        <v>海南省儋州市</v>
      </c>
      <c r="I85" s="7"/>
    </row>
    <row r="86" spans="1:9" ht="30.75" customHeight="1">
      <c r="A86" s="6">
        <v>84</v>
      </c>
      <c r="B86" s="7" t="str">
        <f>"252220200802143453360"</f>
        <v>252220200802143453360</v>
      </c>
      <c r="C86" s="7" t="s">
        <v>20</v>
      </c>
      <c r="D86" s="7" t="str">
        <f>"麦精慧"</f>
        <v>麦精慧</v>
      </c>
      <c r="E86" s="7" t="str">
        <f t="shared" si="11"/>
        <v>医学检验技术</v>
      </c>
      <c r="F86" s="7" t="str">
        <f>"2020.06"</f>
        <v>2020.06</v>
      </c>
      <c r="G86" s="7" t="str">
        <f t="shared" si="9"/>
        <v>本科</v>
      </c>
      <c r="H86" s="7" t="str">
        <f aca="true" t="shared" si="12" ref="H86:H91">"海南儋州"</f>
        <v>海南儋州</v>
      </c>
      <c r="I86" s="7"/>
    </row>
    <row r="87" spans="1:9" ht="30.75" customHeight="1">
      <c r="A87" s="6">
        <v>85</v>
      </c>
      <c r="B87" s="7" t="str">
        <f>"252220200802155735407"</f>
        <v>252220200802155735407</v>
      </c>
      <c r="C87" s="7" t="s">
        <v>20</v>
      </c>
      <c r="D87" s="7" t="str">
        <f>"吴秀君"</f>
        <v>吴秀君</v>
      </c>
      <c r="E87" s="7" t="str">
        <f t="shared" si="11"/>
        <v>医学检验技术</v>
      </c>
      <c r="F87" s="7" t="str">
        <f>"2020.06"</f>
        <v>2020.06</v>
      </c>
      <c r="G87" s="7" t="str">
        <f t="shared" si="9"/>
        <v>本科</v>
      </c>
      <c r="H87" s="7" t="str">
        <f t="shared" si="12"/>
        <v>海南儋州</v>
      </c>
      <c r="I87" s="7"/>
    </row>
    <row r="88" spans="1:9" ht="30.75" customHeight="1">
      <c r="A88" s="6">
        <v>86</v>
      </c>
      <c r="B88" s="7" t="str">
        <f>"252220200802192000514"</f>
        <v>252220200802192000514</v>
      </c>
      <c r="C88" s="7" t="s">
        <v>20</v>
      </c>
      <c r="D88" s="7" t="str">
        <f>"王兰珠"</f>
        <v>王兰珠</v>
      </c>
      <c r="E88" s="7" t="str">
        <f>"医学检验学系"</f>
        <v>医学检验学系</v>
      </c>
      <c r="F88" s="7" t="str">
        <f>"2020/07/01"</f>
        <v>2020/07/01</v>
      </c>
      <c r="G88" s="7" t="str">
        <f t="shared" si="9"/>
        <v>本科</v>
      </c>
      <c r="H88" s="7" t="str">
        <f t="shared" si="12"/>
        <v>海南儋州</v>
      </c>
      <c r="I88" s="7"/>
    </row>
    <row r="89" spans="1:9" ht="30.75" customHeight="1">
      <c r="A89" s="6">
        <v>87</v>
      </c>
      <c r="B89" s="7" t="str">
        <f>"252220200803094941697"</f>
        <v>252220200803094941697</v>
      </c>
      <c r="C89" s="7" t="s">
        <v>20</v>
      </c>
      <c r="D89" s="7" t="str">
        <f>"廖学晶"</f>
        <v>廖学晶</v>
      </c>
      <c r="E89" s="7" t="str">
        <f>"卫生检验与检疫"</f>
        <v>卫生检验与检疫</v>
      </c>
      <c r="F89" s="7" t="str">
        <f>"2020.07"</f>
        <v>2020.07</v>
      </c>
      <c r="G89" s="7" t="str">
        <f t="shared" si="9"/>
        <v>本科</v>
      </c>
      <c r="H89" s="7" t="str">
        <f t="shared" si="12"/>
        <v>海南儋州</v>
      </c>
      <c r="I89" s="7"/>
    </row>
    <row r="90" spans="1:9" ht="30.75" customHeight="1">
      <c r="A90" s="6">
        <v>88</v>
      </c>
      <c r="B90" s="7" t="str">
        <f>"252220200803104813746"</f>
        <v>252220200803104813746</v>
      </c>
      <c r="C90" s="7" t="s">
        <v>20</v>
      </c>
      <c r="D90" s="7" t="str">
        <f>"许鹏科"</f>
        <v>许鹏科</v>
      </c>
      <c r="E90" s="7" t="str">
        <f>"卫生检验与检疫"</f>
        <v>卫生检验与检疫</v>
      </c>
      <c r="F90" s="7" t="str">
        <f>"2020.07"</f>
        <v>2020.07</v>
      </c>
      <c r="G90" s="7" t="str">
        <f t="shared" si="9"/>
        <v>本科</v>
      </c>
      <c r="H90" s="7" t="str">
        <f t="shared" si="12"/>
        <v>海南儋州</v>
      </c>
      <c r="I90" s="7"/>
    </row>
    <row r="91" spans="1:9" ht="30.75" customHeight="1">
      <c r="A91" s="6">
        <v>89</v>
      </c>
      <c r="B91" s="7" t="str">
        <f>"252220200803154229877"</f>
        <v>252220200803154229877</v>
      </c>
      <c r="C91" s="7" t="s">
        <v>20</v>
      </c>
      <c r="D91" s="7" t="str">
        <f>"陈梅初"</f>
        <v>陈梅初</v>
      </c>
      <c r="E91" s="7" t="str">
        <f>"医学检验技术"</f>
        <v>医学检验技术</v>
      </c>
      <c r="F91" s="7" t="str">
        <f>"2020.07"</f>
        <v>2020.07</v>
      </c>
      <c r="G91" s="7" t="str">
        <f t="shared" si="9"/>
        <v>本科</v>
      </c>
      <c r="H91" s="7" t="str">
        <f t="shared" si="12"/>
        <v>海南儋州</v>
      </c>
      <c r="I91" s="7"/>
    </row>
    <row r="92" spans="1:9" ht="30.75" customHeight="1">
      <c r="A92" s="6">
        <v>90</v>
      </c>
      <c r="B92" s="7" t="str">
        <f>"2522202008032255081056"</f>
        <v>2522202008032255081056</v>
      </c>
      <c r="C92" s="7" t="s">
        <v>20</v>
      </c>
      <c r="D92" s="7" t="str">
        <f>"李兰英"</f>
        <v>李兰英</v>
      </c>
      <c r="E92" s="7" t="str">
        <f>"医学检验技术"</f>
        <v>医学检验技术</v>
      </c>
      <c r="F92" s="7" t="str">
        <f>"2020.07"</f>
        <v>2020.07</v>
      </c>
      <c r="G92" s="7" t="str">
        <f t="shared" si="9"/>
        <v>本科</v>
      </c>
      <c r="H92" s="7" t="str">
        <f>"海南省儋州市"</f>
        <v>海南省儋州市</v>
      </c>
      <c r="I92" s="7"/>
    </row>
    <row r="93" spans="1:9" ht="30.75" customHeight="1">
      <c r="A93" s="6">
        <v>91</v>
      </c>
      <c r="B93" s="7" t="str">
        <f>"2522202008051333001459"</f>
        <v>2522202008051333001459</v>
      </c>
      <c r="C93" s="7" t="s">
        <v>20</v>
      </c>
      <c r="D93" s="7" t="str">
        <f>"符小妹"</f>
        <v>符小妹</v>
      </c>
      <c r="E93" s="7" t="str">
        <f>"医学检验技术"</f>
        <v>医学检验技术</v>
      </c>
      <c r="F93" s="7" t="str">
        <f>"2020.06"</f>
        <v>2020.06</v>
      </c>
      <c r="G93" s="7" t="str">
        <f t="shared" si="9"/>
        <v>本科</v>
      </c>
      <c r="H93" s="7" t="str">
        <f>"海南儋州"</f>
        <v>海南儋州</v>
      </c>
      <c r="I93" s="7"/>
    </row>
    <row r="94" spans="1:9" ht="30.75" customHeight="1">
      <c r="A94" s="6">
        <v>92</v>
      </c>
      <c r="B94" s="7" t="str">
        <f>"252220200802094159108"</f>
        <v>252220200802094159108</v>
      </c>
      <c r="C94" s="7" t="s">
        <v>21</v>
      </c>
      <c r="D94" s="7" t="str">
        <f>"赵鸿平"</f>
        <v>赵鸿平</v>
      </c>
      <c r="E94" s="7" t="str">
        <f>"网络工程"</f>
        <v>网络工程</v>
      </c>
      <c r="F94" s="7" t="str">
        <f>"2020.06"</f>
        <v>2020.06</v>
      </c>
      <c r="G94" s="7" t="str">
        <f t="shared" si="9"/>
        <v>本科</v>
      </c>
      <c r="H94" s="7" t="str">
        <f>"海南省儋州市"</f>
        <v>海南省儋州市</v>
      </c>
      <c r="I94" s="7"/>
    </row>
    <row r="95" spans="1:9" ht="30.75" customHeight="1">
      <c r="A95" s="6">
        <v>93</v>
      </c>
      <c r="B95" s="7" t="str">
        <f>"252220200802115108257"</f>
        <v>252220200802115108257</v>
      </c>
      <c r="C95" s="7" t="s">
        <v>21</v>
      </c>
      <c r="D95" s="7" t="str">
        <f>"杨勇明"</f>
        <v>杨勇明</v>
      </c>
      <c r="E95" s="7" t="str">
        <f>"计算机科学与技术"</f>
        <v>计算机科学与技术</v>
      </c>
      <c r="F95" s="7" t="str">
        <f>"2020.07"</f>
        <v>2020.07</v>
      </c>
      <c r="G95" s="7" t="str">
        <f t="shared" si="9"/>
        <v>本科</v>
      </c>
      <c r="H95" s="7" t="str">
        <f>"海南省儋州市"</f>
        <v>海南省儋州市</v>
      </c>
      <c r="I95" s="7"/>
    </row>
    <row r="96" spans="1:9" ht="30.75" customHeight="1">
      <c r="A96" s="6">
        <v>94</v>
      </c>
      <c r="B96" s="7" t="str">
        <f>"252220200803101417716"</f>
        <v>252220200803101417716</v>
      </c>
      <c r="C96" s="7" t="s">
        <v>21</v>
      </c>
      <c r="D96" s="7" t="str">
        <f>"韦美英"</f>
        <v>韦美英</v>
      </c>
      <c r="E96" s="7" t="str">
        <f>"软件工程"</f>
        <v>软件工程</v>
      </c>
      <c r="F96" s="7" t="str">
        <f>"2020年6月"</f>
        <v>2020年6月</v>
      </c>
      <c r="G96" s="7" t="str">
        <f t="shared" si="9"/>
        <v>本科</v>
      </c>
      <c r="H96" s="7" t="str">
        <f>"海南儋州"</f>
        <v>海南儋州</v>
      </c>
      <c r="I96" s="7"/>
    </row>
    <row r="97" spans="1:9" ht="30.75" customHeight="1">
      <c r="A97" s="6">
        <v>95</v>
      </c>
      <c r="B97" s="7" t="str">
        <f>"2522202008081422551887"</f>
        <v>2522202008081422551887</v>
      </c>
      <c r="C97" s="7" t="s">
        <v>21</v>
      </c>
      <c r="D97" s="7" t="str">
        <f>"张琰"</f>
        <v>张琰</v>
      </c>
      <c r="E97" s="7" t="str">
        <f>"计算机科学与技术"</f>
        <v>计算机科学与技术</v>
      </c>
      <c r="F97" s="7" t="str">
        <f>"2020.07"</f>
        <v>2020.07</v>
      </c>
      <c r="G97" s="7" t="str">
        <f t="shared" si="9"/>
        <v>本科</v>
      </c>
      <c r="H97" s="7" t="str">
        <f>"海南儋州"</f>
        <v>海南儋州</v>
      </c>
      <c r="I97" s="7"/>
    </row>
    <row r="98" spans="1:9" ht="30.75" customHeight="1">
      <c r="A98" s="6">
        <v>96</v>
      </c>
      <c r="B98" s="7" t="str">
        <f>"252220200803085424656"</f>
        <v>252220200803085424656</v>
      </c>
      <c r="C98" s="7" t="s">
        <v>22</v>
      </c>
      <c r="D98" s="7" t="str">
        <f>"吴延晟"</f>
        <v>吴延晟</v>
      </c>
      <c r="E98" s="7" t="str">
        <f aca="true" t="shared" si="13" ref="E98:E104">"临床医学"</f>
        <v>临床医学</v>
      </c>
      <c r="F98" s="7" t="str">
        <f>"2020.07"</f>
        <v>2020.07</v>
      </c>
      <c r="G98" s="7" t="str">
        <f t="shared" si="9"/>
        <v>本科</v>
      </c>
      <c r="H98" s="7" t="str">
        <f>"海南省洋浦经济开发区"</f>
        <v>海南省洋浦经济开发区</v>
      </c>
      <c r="I98" s="7" t="s">
        <v>12</v>
      </c>
    </row>
    <row r="99" spans="1:9" ht="30.75" customHeight="1">
      <c r="A99" s="6">
        <v>97</v>
      </c>
      <c r="B99" s="7" t="str">
        <f>"2522202008032137071031"</f>
        <v>2522202008032137071031</v>
      </c>
      <c r="C99" s="7" t="s">
        <v>22</v>
      </c>
      <c r="D99" s="7" t="str">
        <f>"孙援味"</f>
        <v>孙援味</v>
      </c>
      <c r="E99" s="7" t="str">
        <f t="shared" si="13"/>
        <v>临床医学</v>
      </c>
      <c r="F99" s="7" t="str">
        <f>"2020.06"</f>
        <v>2020.06</v>
      </c>
      <c r="G99" s="7" t="str">
        <f aca="true" t="shared" si="14" ref="G99:G106">"大专"</f>
        <v>大专</v>
      </c>
      <c r="H99" s="7" t="str">
        <f>"海南儋州"</f>
        <v>海南儋州</v>
      </c>
      <c r="I99" s="7"/>
    </row>
    <row r="100" spans="1:9" ht="30.75" customHeight="1">
      <c r="A100" s="6">
        <v>98</v>
      </c>
      <c r="B100" s="7" t="str">
        <f>"2522202008060918101641"</f>
        <v>2522202008060918101641</v>
      </c>
      <c r="C100" s="7" t="s">
        <v>22</v>
      </c>
      <c r="D100" s="7" t="str">
        <f>"王长女"</f>
        <v>王长女</v>
      </c>
      <c r="E100" s="7" t="str">
        <f t="shared" si="13"/>
        <v>临床医学</v>
      </c>
      <c r="F100" s="7" t="str">
        <f>"2020.07"</f>
        <v>2020.07</v>
      </c>
      <c r="G100" s="7" t="str">
        <f t="shared" si="14"/>
        <v>大专</v>
      </c>
      <c r="H100" s="7" t="str">
        <f>"海南儋州"</f>
        <v>海南儋州</v>
      </c>
      <c r="I100" s="7"/>
    </row>
    <row r="101" spans="1:9" ht="30.75" customHeight="1">
      <c r="A101" s="6">
        <v>99</v>
      </c>
      <c r="B101" s="7" t="str">
        <f>"2522202008061114361682"</f>
        <v>2522202008061114361682</v>
      </c>
      <c r="C101" s="7" t="s">
        <v>22</v>
      </c>
      <c r="D101" s="7" t="str">
        <f>"刘宝柳"</f>
        <v>刘宝柳</v>
      </c>
      <c r="E101" s="7" t="str">
        <f t="shared" si="13"/>
        <v>临床医学</v>
      </c>
      <c r="F101" s="7" t="str">
        <f>"2020.06"</f>
        <v>2020.06</v>
      </c>
      <c r="G101" s="7" t="str">
        <f t="shared" si="14"/>
        <v>大专</v>
      </c>
      <c r="H101" s="7" t="str">
        <f>"海南儋州"</f>
        <v>海南儋州</v>
      </c>
      <c r="I101" s="7"/>
    </row>
    <row r="102" spans="1:9" ht="30.75" customHeight="1">
      <c r="A102" s="6">
        <v>100</v>
      </c>
      <c r="B102" s="7" t="str">
        <f>"252220200802124142302"</f>
        <v>252220200802124142302</v>
      </c>
      <c r="C102" s="7" t="s">
        <v>23</v>
      </c>
      <c r="D102" s="7" t="str">
        <f>"陈秋香"</f>
        <v>陈秋香</v>
      </c>
      <c r="E102" s="7" t="str">
        <f t="shared" si="13"/>
        <v>临床医学</v>
      </c>
      <c r="F102" s="7" t="str">
        <f>"2020.06"</f>
        <v>2020.06</v>
      </c>
      <c r="G102" s="7" t="str">
        <f t="shared" si="14"/>
        <v>大专</v>
      </c>
      <c r="H102" s="7" t="str">
        <f>"海南省儋州市海头镇"</f>
        <v>海南省儋州市海头镇</v>
      </c>
      <c r="I102" s="7"/>
    </row>
    <row r="103" spans="1:9" ht="30.75" customHeight="1">
      <c r="A103" s="6">
        <v>101</v>
      </c>
      <c r="B103" s="7" t="str">
        <f>"2522202008041929001293"</f>
        <v>2522202008041929001293</v>
      </c>
      <c r="C103" s="7" t="s">
        <v>23</v>
      </c>
      <c r="D103" s="7" t="str">
        <f>"黎明瑛"</f>
        <v>黎明瑛</v>
      </c>
      <c r="E103" s="7" t="str">
        <f t="shared" si="13"/>
        <v>临床医学</v>
      </c>
      <c r="F103" s="7" t="str">
        <f>"2020.07"</f>
        <v>2020.07</v>
      </c>
      <c r="G103" s="7" t="str">
        <f t="shared" si="14"/>
        <v>大专</v>
      </c>
      <c r="H103" s="7" t="str">
        <f>"海南儋州"</f>
        <v>海南儋州</v>
      </c>
      <c r="I103" s="7"/>
    </row>
    <row r="104" spans="1:9" ht="30.75" customHeight="1">
      <c r="A104" s="6">
        <v>102</v>
      </c>
      <c r="B104" s="7" t="str">
        <f>"25222020080209121476"</f>
        <v>25222020080209121476</v>
      </c>
      <c r="C104" s="7" t="s">
        <v>24</v>
      </c>
      <c r="D104" s="7" t="str">
        <f>"江青竹"</f>
        <v>江青竹</v>
      </c>
      <c r="E104" s="7" t="str">
        <f t="shared" si="13"/>
        <v>临床医学</v>
      </c>
      <c r="F104" s="7" t="str">
        <f>"2020.07"</f>
        <v>2020.07</v>
      </c>
      <c r="G104" s="7" t="str">
        <f t="shared" si="14"/>
        <v>大专</v>
      </c>
      <c r="H104" s="7" t="str">
        <f>"海南省儋州市"</f>
        <v>海南省儋州市</v>
      </c>
      <c r="I104" s="7"/>
    </row>
    <row r="105" spans="1:9" ht="30.75" customHeight="1">
      <c r="A105" s="6">
        <v>103</v>
      </c>
      <c r="B105" s="6" t="str">
        <f>"252220200802170858454"</f>
        <v>252220200802170858454</v>
      </c>
      <c r="C105" s="6" t="s">
        <v>24</v>
      </c>
      <c r="D105" s="6" t="str">
        <f>"羊木楼"</f>
        <v>羊木楼</v>
      </c>
      <c r="E105" s="6" t="str">
        <f>"医学影像技术"</f>
        <v>医学影像技术</v>
      </c>
      <c r="F105" s="6" t="str">
        <f>"2020.07"</f>
        <v>2020.07</v>
      </c>
      <c r="G105" s="6" t="str">
        <f t="shared" si="14"/>
        <v>大专</v>
      </c>
      <c r="H105" s="6" t="str">
        <f aca="true" t="shared" si="15" ref="H105:H112">"海南省儋州市"</f>
        <v>海南省儋州市</v>
      </c>
      <c r="I105" s="6"/>
    </row>
    <row r="106" spans="1:9" ht="30.75" customHeight="1">
      <c r="A106" s="6">
        <v>104</v>
      </c>
      <c r="B106" s="7" t="str">
        <f>"252220200802181705482"</f>
        <v>252220200802181705482</v>
      </c>
      <c r="C106" s="7" t="s">
        <v>24</v>
      </c>
      <c r="D106" s="7" t="str">
        <f>"符锡才"</f>
        <v>符锡才</v>
      </c>
      <c r="E106" s="7" t="str">
        <f>"医学影像技术"</f>
        <v>医学影像技术</v>
      </c>
      <c r="F106" s="7" t="str">
        <f>"2020.06"</f>
        <v>2020.06</v>
      </c>
      <c r="G106" s="7" t="str">
        <f t="shared" si="14"/>
        <v>大专</v>
      </c>
      <c r="H106" s="7" t="str">
        <f t="shared" si="15"/>
        <v>海南省儋州市</v>
      </c>
      <c r="I106" s="7"/>
    </row>
    <row r="107" spans="1:9" ht="30.75" customHeight="1">
      <c r="A107" s="6">
        <v>105</v>
      </c>
      <c r="B107" s="7" t="str">
        <f>"2522202008020809237"</f>
        <v>2522202008020809237</v>
      </c>
      <c r="C107" s="7" t="s">
        <v>25</v>
      </c>
      <c r="D107" s="7" t="str">
        <f>"吴福端"</f>
        <v>吴福端</v>
      </c>
      <c r="E107" s="7" t="str">
        <f aca="true" t="shared" si="16" ref="E107:E113">"口腔医学"</f>
        <v>口腔医学</v>
      </c>
      <c r="F107" s="7" t="str">
        <f>"2020.06"</f>
        <v>2020.06</v>
      </c>
      <c r="G107" s="7" t="str">
        <f>"本科"</f>
        <v>本科</v>
      </c>
      <c r="H107" s="7" t="str">
        <f>"海南儋州"</f>
        <v>海南儋州</v>
      </c>
      <c r="I107" s="7"/>
    </row>
    <row r="108" spans="1:9" ht="30.75" customHeight="1">
      <c r="A108" s="6">
        <v>106</v>
      </c>
      <c r="B108" s="7" t="str">
        <f>"25222020080208232629"</f>
        <v>25222020080208232629</v>
      </c>
      <c r="C108" s="7" t="s">
        <v>25</v>
      </c>
      <c r="D108" s="7" t="str">
        <f>"伍纯玲"</f>
        <v>伍纯玲</v>
      </c>
      <c r="E108" s="7" t="str">
        <f t="shared" si="16"/>
        <v>口腔医学</v>
      </c>
      <c r="F108" s="7" t="str">
        <f>"2020.06"</f>
        <v>2020.06</v>
      </c>
      <c r="G108" s="7" t="str">
        <f>"本科"</f>
        <v>本科</v>
      </c>
      <c r="H108" s="7" t="str">
        <f>"海南儋州"</f>
        <v>海南儋州</v>
      </c>
      <c r="I108" s="7"/>
    </row>
    <row r="109" spans="1:9" ht="30.75" customHeight="1">
      <c r="A109" s="6">
        <v>107</v>
      </c>
      <c r="B109" s="7" t="str">
        <f>"252220200802101651142"</f>
        <v>252220200802101651142</v>
      </c>
      <c r="C109" s="7" t="s">
        <v>25</v>
      </c>
      <c r="D109" s="7" t="str">
        <f>"陈婆珠"</f>
        <v>陈婆珠</v>
      </c>
      <c r="E109" s="7" t="str">
        <f t="shared" si="16"/>
        <v>口腔医学</v>
      </c>
      <c r="F109" s="7" t="str">
        <f>"2020.06"</f>
        <v>2020.06</v>
      </c>
      <c r="G109" s="7" t="str">
        <f>"本科"</f>
        <v>本科</v>
      </c>
      <c r="H109" s="7" t="str">
        <f t="shared" si="15"/>
        <v>海南省儋州市</v>
      </c>
      <c r="I109" s="7"/>
    </row>
    <row r="110" spans="1:9" ht="30.75" customHeight="1">
      <c r="A110" s="6">
        <v>108</v>
      </c>
      <c r="B110" s="7" t="str">
        <f>"252220200802110735204"</f>
        <v>252220200802110735204</v>
      </c>
      <c r="C110" s="7" t="s">
        <v>25</v>
      </c>
      <c r="D110" s="7" t="str">
        <f>"谢秋爱"</f>
        <v>谢秋爱</v>
      </c>
      <c r="E110" s="7" t="str">
        <f t="shared" si="16"/>
        <v>口腔医学</v>
      </c>
      <c r="F110" s="7" t="str">
        <f>"2020.06"</f>
        <v>2020.06</v>
      </c>
      <c r="G110" s="7" t="str">
        <f>"本科"</f>
        <v>本科</v>
      </c>
      <c r="H110" s="7" t="str">
        <f t="shared" si="15"/>
        <v>海南省儋州市</v>
      </c>
      <c r="I110" s="7"/>
    </row>
    <row r="111" spans="1:9" ht="30.75" customHeight="1">
      <c r="A111" s="6">
        <v>109</v>
      </c>
      <c r="B111" s="7" t="str">
        <f>"2522202008041949551302"</f>
        <v>2522202008041949551302</v>
      </c>
      <c r="C111" s="7" t="s">
        <v>25</v>
      </c>
      <c r="D111" s="7" t="str">
        <f>"薛小女"</f>
        <v>薛小女</v>
      </c>
      <c r="E111" s="7" t="str">
        <f t="shared" si="16"/>
        <v>口腔医学</v>
      </c>
      <c r="F111" s="7" t="str">
        <f>"2020年06月"</f>
        <v>2020年06月</v>
      </c>
      <c r="G111" s="7" t="str">
        <f>"大专"</f>
        <v>大专</v>
      </c>
      <c r="H111" s="7" t="str">
        <f t="shared" si="15"/>
        <v>海南省儋州市</v>
      </c>
      <c r="I111" s="7"/>
    </row>
    <row r="112" spans="1:9" ht="30.75" customHeight="1">
      <c r="A112" s="6">
        <v>110</v>
      </c>
      <c r="B112" s="7" t="str">
        <f>"2522202008042016241311"</f>
        <v>2522202008042016241311</v>
      </c>
      <c r="C112" s="7" t="s">
        <v>25</v>
      </c>
      <c r="D112" s="7" t="str">
        <f>"薛之炳"</f>
        <v>薛之炳</v>
      </c>
      <c r="E112" s="7" t="str">
        <f t="shared" si="16"/>
        <v>口腔医学</v>
      </c>
      <c r="F112" s="7" t="str">
        <f>"2020年06月"</f>
        <v>2020年06月</v>
      </c>
      <c r="G112" s="7" t="str">
        <f>"大专"</f>
        <v>大专</v>
      </c>
      <c r="H112" s="7" t="str">
        <f t="shared" si="15"/>
        <v>海南省儋州市</v>
      </c>
      <c r="I112" s="7"/>
    </row>
    <row r="113" spans="1:9" ht="30.75" customHeight="1">
      <c r="A113" s="6">
        <v>111</v>
      </c>
      <c r="B113" s="7" t="str">
        <f>"2522202008042020251314"</f>
        <v>2522202008042020251314</v>
      </c>
      <c r="C113" s="7" t="s">
        <v>25</v>
      </c>
      <c r="D113" s="7" t="str">
        <f>"吴科榜"</f>
        <v>吴科榜</v>
      </c>
      <c r="E113" s="7" t="str">
        <f t="shared" si="16"/>
        <v>口腔医学</v>
      </c>
      <c r="F113" s="7" t="str">
        <f>"2020.07"</f>
        <v>2020.07</v>
      </c>
      <c r="G113" s="7" t="str">
        <f>"大专"</f>
        <v>大专</v>
      </c>
      <c r="H113" s="7" t="str">
        <f aca="true" t="shared" si="17" ref="H113:H118">"海南省儋州市"</f>
        <v>海南省儋州市</v>
      </c>
      <c r="I113" s="7"/>
    </row>
    <row r="114" spans="1:9" ht="30.75" customHeight="1">
      <c r="A114" s="6">
        <v>112</v>
      </c>
      <c r="B114" s="7" t="str">
        <f>"25222020080208232228"</f>
        <v>25222020080208232228</v>
      </c>
      <c r="C114" s="7" t="s">
        <v>26</v>
      </c>
      <c r="D114" s="7" t="str">
        <f>"符发智"</f>
        <v>符发智</v>
      </c>
      <c r="E114" s="7" t="str">
        <f>"中西医临床医学"</f>
        <v>中西医临床医学</v>
      </c>
      <c r="F114" s="7" t="str">
        <f>"2020.06"</f>
        <v>2020.06</v>
      </c>
      <c r="G114" s="7" t="str">
        <f aca="true" t="shared" si="18" ref="G114:G130">"本科"</f>
        <v>本科</v>
      </c>
      <c r="H114" s="7" t="str">
        <f t="shared" si="17"/>
        <v>海南省儋州市</v>
      </c>
      <c r="I114" s="7"/>
    </row>
    <row r="115" spans="1:9" ht="30.75" customHeight="1">
      <c r="A115" s="6">
        <v>113</v>
      </c>
      <c r="B115" s="7" t="str">
        <f>"25222020080208433844"</f>
        <v>25222020080208433844</v>
      </c>
      <c r="C115" s="7" t="s">
        <v>26</v>
      </c>
      <c r="D115" s="7" t="str">
        <f>"牛海蓉"</f>
        <v>牛海蓉</v>
      </c>
      <c r="E115" s="7" t="str">
        <f>"中医学"</f>
        <v>中医学</v>
      </c>
      <c r="F115" s="7" t="str">
        <f>"2020-07-01"</f>
        <v>2020-07-01</v>
      </c>
      <c r="G115" s="7" t="str">
        <f t="shared" si="18"/>
        <v>本科</v>
      </c>
      <c r="H115" s="7" t="str">
        <f>"海南儋州"</f>
        <v>海南儋州</v>
      </c>
      <c r="I115" s="7"/>
    </row>
    <row r="116" spans="1:9" ht="30.75" customHeight="1">
      <c r="A116" s="6">
        <v>114</v>
      </c>
      <c r="B116" s="7" t="str">
        <f>"252220200802110258196"</f>
        <v>252220200802110258196</v>
      </c>
      <c r="C116" s="7" t="s">
        <v>26</v>
      </c>
      <c r="D116" s="7" t="str">
        <f>"黎春兰"</f>
        <v>黎春兰</v>
      </c>
      <c r="E116" s="7" t="str">
        <f>"中西医临床医学"</f>
        <v>中西医临床医学</v>
      </c>
      <c r="F116" s="7" t="str">
        <f>"2020.07"</f>
        <v>2020.07</v>
      </c>
      <c r="G116" s="7" t="str">
        <f t="shared" si="18"/>
        <v>本科</v>
      </c>
      <c r="H116" s="7" t="str">
        <f t="shared" si="17"/>
        <v>海南省儋州市</v>
      </c>
      <c r="I116" s="7"/>
    </row>
    <row r="117" spans="1:9" ht="30.75" customHeight="1">
      <c r="A117" s="6">
        <v>115</v>
      </c>
      <c r="B117" s="7" t="str">
        <f>"252220200802110837205"</f>
        <v>252220200802110837205</v>
      </c>
      <c r="C117" s="7" t="s">
        <v>26</v>
      </c>
      <c r="D117" s="7" t="str">
        <f>"王二丹"</f>
        <v>王二丹</v>
      </c>
      <c r="E117" s="7" t="str">
        <f>"中西医临床医学"</f>
        <v>中西医临床医学</v>
      </c>
      <c r="F117" s="7" t="str">
        <f>"2020.07"</f>
        <v>2020.07</v>
      </c>
      <c r="G117" s="7" t="str">
        <f t="shared" si="18"/>
        <v>本科</v>
      </c>
      <c r="H117" s="7" t="str">
        <f t="shared" si="17"/>
        <v>海南省儋州市</v>
      </c>
      <c r="I117" s="7"/>
    </row>
    <row r="118" spans="1:9" ht="30.75" customHeight="1">
      <c r="A118" s="6">
        <v>116</v>
      </c>
      <c r="B118" s="7" t="str">
        <f>"252220200802114430249"</f>
        <v>252220200802114430249</v>
      </c>
      <c r="C118" s="7" t="s">
        <v>26</v>
      </c>
      <c r="D118" s="7" t="str">
        <f>"薛妹"</f>
        <v>薛妹</v>
      </c>
      <c r="E118" s="7" t="str">
        <f>"中西医临床医学"</f>
        <v>中西医临床医学</v>
      </c>
      <c r="F118" s="7" t="str">
        <f>"2020.07"</f>
        <v>2020.07</v>
      </c>
      <c r="G118" s="7" t="str">
        <f t="shared" si="18"/>
        <v>本科</v>
      </c>
      <c r="H118" s="7" t="str">
        <f t="shared" si="17"/>
        <v>海南省儋州市</v>
      </c>
      <c r="I118" s="7"/>
    </row>
    <row r="119" spans="1:9" ht="30.75" customHeight="1">
      <c r="A119" s="6">
        <v>117</v>
      </c>
      <c r="B119" s="7" t="str">
        <f>"252220200802120320270"</f>
        <v>252220200802120320270</v>
      </c>
      <c r="C119" s="7" t="s">
        <v>26</v>
      </c>
      <c r="D119" s="7" t="str">
        <f>"郑初壮"</f>
        <v>郑初壮</v>
      </c>
      <c r="E119" s="7" t="str">
        <f>"中西医临床医学"</f>
        <v>中西医临床医学</v>
      </c>
      <c r="F119" s="7" t="str">
        <f>"2020.7.1"</f>
        <v>2020.7.1</v>
      </c>
      <c r="G119" s="7" t="str">
        <f t="shared" si="18"/>
        <v>本科</v>
      </c>
      <c r="H119" s="7" t="str">
        <f aca="true" t="shared" si="19" ref="H119:H122">"海南省儋州市"</f>
        <v>海南省儋州市</v>
      </c>
      <c r="I119" s="7"/>
    </row>
    <row r="120" spans="1:9" ht="30.75" customHeight="1">
      <c r="A120" s="6">
        <v>118</v>
      </c>
      <c r="B120" s="7" t="str">
        <f>"252220200802233118611"</f>
        <v>252220200802233118611</v>
      </c>
      <c r="C120" s="7" t="s">
        <v>26</v>
      </c>
      <c r="D120" s="7" t="str">
        <f>"黎秀文"</f>
        <v>黎秀文</v>
      </c>
      <c r="E120" s="7" t="str">
        <f>"中医学"</f>
        <v>中医学</v>
      </c>
      <c r="F120" s="7" t="str">
        <f>"2020.07"</f>
        <v>2020.07</v>
      </c>
      <c r="G120" s="7" t="str">
        <f t="shared" si="18"/>
        <v>本科</v>
      </c>
      <c r="H120" s="7" t="str">
        <f>"海南儋州"</f>
        <v>海南儋州</v>
      </c>
      <c r="I120" s="7"/>
    </row>
    <row r="121" spans="1:9" ht="30.75" customHeight="1">
      <c r="A121" s="6">
        <v>119</v>
      </c>
      <c r="B121" s="7" t="str">
        <f>"252220200803171327935"</f>
        <v>252220200803171327935</v>
      </c>
      <c r="C121" s="7" t="s">
        <v>26</v>
      </c>
      <c r="D121" s="7" t="str">
        <f>"严扬鑫"</f>
        <v>严扬鑫</v>
      </c>
      <c r="E121" s="7" t="str">
        <f>"中医学"</f>
        <v>中医学</v>
      </c>
      <c r="F121" s="7" t="str">
        <f>"2020.07"</f>
        <v>2020.07</v>
      </c>
      <c r="G121" s="7" t="str">
        <f t="shared" si="18"/>
        <v>本科</v>
      </c>
      <c r="H121" s="7" t="str">
        <f t="shared" si="19"/>
        <v>海南省儋州市</v>
      </c>
      <c r="I121" s="7"/>
    </row>
    <row r="122" spans="1:9" ht="30.75" customHeight="1">
      <c r="A122" s="6">
        <v>120</v>
      </c>
      <c r="B122" s="7" t="str">
        <f>"2522202008040940441100"</f>
        <v>2522202008040940441100</v>
      </c>
      <c r="C122" s="7" t="s">
        <v>26</v>
      </c>
      <c r="D122" s="7" t="str">
        <f>"林义杰"</f>
        <v>林义杰</v>
      </c>
      <c r="E122" s="7" t="str">
        <f>"中西医临床医学"</f>
        <v>中西医临床医学</v>
      </c>
      <c r="F122" s="7" t="str">
        <f>"2020年7月1日"</f>
        <v>2020年7月1日</v>
      </c>
      <c r="G122" s="7" t="str">
        <f t="shared" si="18"/>
        <v>本科</v>
      </c>
      <c r="H122" s="7" t="str">
        <f t="shared" si="19"/>
        <v>海南省儋州市</v>
      </c>
      <c r="I122" s="7"/>
    </row>
    <row r="123" spans="1:9" ht="30.75" customHeight="1">
      <c r="A123" s="6">
        <v>121</v>
      </c>
      <c r="B123" s="7" t="str">
        <f>"2522202008041019221115"</f>
        <v>2522202008041019221115</v>
      </c>
      <c r="C123" s="7" t="s">
        <v>26</v>
      </c>
      <c r="D123" s="7" t="str">
        <f>"刘殿钟"</f>
        <v>刘殿钟</v>
      </c>
      <c r="E123" s="7" t="str">
        <f>"中西医临床医学"</f>
        <v>中西医临床医学</v>
      </c>
      <c r="F123" s="7" t="str">
        <f>"2020.07"</f>
        <v>2020.07</v>
      </c>
      <c r="G123" s="7" t="str">
        <f t="shared" si="18"/>
        <v>本科</v>
      </c>
      <c r="H123" s="7" t="str">
        <f>"海南省儋州市"</f>
        <v>海南省儋州市</v>
      </c>
      <c r="I123" s="7"/>
    </row>
    <row r="124" spans="1:9" ht="30.75" customHeight="1">
      <c r="A124" s="6">
        <v>122</v>
      </c>
      <c r="B124" s="7" t="str">
        <f>"2522202008041300431183"</f>
        <v>2522202008041300431183</v>
      </c>
      <c r="C124" s="7" t="s">
        <v>26</v>
      </c>
      <c r="D124" s="7" t="str">
        <f>"杨木桃"</f>
        <v>杨木桃</v>
      </c>
      <c r="E124" s="7" t="str">
        <f>"中西医临床医学"</f>
        <v>中西医临床医学</v>
      </c>
      <c r="F124" s="7" t="str">
        <f>"2020.07"</f>
        <v>2020.07</v>
      </c>
      <c r="G124" s="7" t="str">
        <f t="shared" si="18"/>
        <v>本科</v>
      </c>
      <c r="H124" s="7" t="str">
        <f>"海南省儋州市"</f>
        <v>海南省儋州市</v>
      </c>
      <c r="I124" s="7"/>
    </row>
    <row r="125" spans="1:9" ht="30.75" customHeight="1">
      <c r="A125" s="6">
        <v>123</v>
      </c>
      <c r="B125" s="7" t="str">
        <f>"2522202008041643181247"</f>
        <v>2522202008041643181247</v>
      </c>
      <c r="C125" s="7" t="s">
        <v>26</v>
      </c>
      <c r="D125" s="7" t="str">
        <f>"黄志扬"</f>
        <v>黄志扬</v>
      </c>
      <c r="E125" s="7" t="str">
        <f>"中西医临床"</f>
        <v>中西医临床</v>
      </c>
      <c r="F125" s="7" t="str">
        <f>"2020.07"</f>
        <v>2020.07</v>
      </c>
      <c r="G125" s="7" t="str">
        <f t="shared" si="18"/>
        <v>本科</v>
      </c>
      <c r="H125" s="7" t="str">
        <f>"海南省儋州市中和镇"</f>
        <v>海南省儋州市中和镇</v>
      </c>
      <c r="I125" s="7"/>
    </row>
    <row r="126" spans="1:9" ht="30.75" customHeight="1">
      <c r="A126" s="6">
        <v>124</v>
      </c>
      <c r="B126" s="7" t="str">
        <f>"2522202008041836151280"</f>
        <v>2522202008041836151280</v>
      </c>
      <c r="C126" s="7" t="s">
        <v>26</v>
      </c>
      <c r="D126" s="7" t="str">
        <f>"林小柔"</f>
        <v>林小柔</v>
      </c>
      <c r="E126" s="7" t="str">
        <f>"针灸推拿学"</f>
        <v>针灸推拿学</v>
      </c>
      <c r="F126" s="7" t="str">
        <f>"2020.07"</f>
        <v>2020.07</v>
      </c>
      <c r="G126" s="7" t="str">
        <f t="shared" si="18"/>
        <v>本科</v>
      </c>
      <c r="H126" s="7" t="str">
        <f aca="true" t="shared" si="20" ref="H126:H131">"海南省儋州市"</f>
        <v>海南省儋州市</v>
      </c>
      <c r="I126" s="7"/>
    </row>
    <row r="127" spans="1:9" ht="30.75" customHeight="1">
      <c r="A127" s="6">
        <v>125</v>
      </c>
      <c r="B127" s="7" t="str">
        <f>"2522202008042227331352"</f>
        <v>2522202008042227331352</v>
      </c>
      <c r="C127" s="7" t="s">
        <v>26</v>
      </c>
      <c r="D127" s="7" t="str">
        <f>"唐广为"</f>
        <v>唐广为</v>
      </c>
      <c r="E127" s="7" t="str">
        <f>"中西结合临床医学"</f>
        <v>中西结合临床医学</v>
      </c>
      <c r="F127" s="7" t="str">
        <f>"2020.06"</f>
        <v>2020.06</v>
      </c>
      <c r="G127" s="7" t="str">
        <f t="shared" si="18"/>
        <v>本科</v>
      </c>
      <c r="H127" s="7" t="str">
        <f t="shared" si="20"/>
        <v>海南省儋州市</v>
      </c>
      <c r="I127" s="7"/>
    </row>
    <row r="128" spans="1:9" ht="30.75" customHeight="1">
      <c r="A128" s="6">
        <v>126</v>
      </c>
      <c r="B128" s="7" t="str">
        <f>"2522202008051004411397"</f>
        <v>2522202008051004411397</v>
      </c>
      <c r="C128" s="7" t="s">
        <v>26</v>
      </c>
      <c r="D128" s="7" t="str">
        <f>"王乾月"</f>
        <v>王乾月</v>
      </c>
      <c r="E128" s="7" t="str">
        <f>"中西医临床医学"</f>
        <v>中西医临床医学</v>
      </c>
      <c r="F128" s="7" t="str">
        <f>"2020.06"</f>
        <v>2020.06</v>
      </c>
      <c r="G128" s="7" t="str">
        <f t="shared" si="18"/>
        <v>本科</v>
      </c>
      <c r="H128" s="7" t="str">
        <f t="shared" si="20"/>
        <v>海南省儋州市</v>
      </c>
      <c r="I128" s="7"/>
    </row>
    <row r="129" spans="1:9" ht="30.75" customHeight="1">
      <c r="A129" s="6">
        <v>127</v>
      </c>
      <c r="B129" s="7" t="str">
        <f>"2522202008060948311649"</f>
        <v>2522202008060948311649</v>
      </c>
      <c r="C129" s="7" t="s">
        <v>26</v>
      </c>
      <c r="D129" s="7" t="str">
        <f>"曾善显"</f>
        <v>曾善显</v>
      </c>
      <c r="E129" s="7" t="str">
        <f>"中西医临床医学"</f>
        <v>中西医临床医学</v>
      </c>
      <c r="F129" s="7" t="str">
        <f>"2020.07"</f>
        <v>2020.07</v>
      </c>
      <c r="G129" s="7" t="str">
        <f t="shared" si="18"/>
        <v>本科</v>
      </c>
      <c r="H129" s="7" t="str">
        <f t="shared" si="20"/>
        <v>海南省儋州市</v>
      </c>
      <c r="I129" s="7"/>
    </row>
    <row r="130" spans="1:9" ht="30.75" customHeight="1">
      <c r="A130" s="6">
        <v>128</v>
      </c>
      <c r="B130" s="7" t="str">
        <f>"2522202008061736371794"</f>
        <v>2522202008061736371794</v>
      </c>
      <c r="C130" s="7" t="s">
        <v>26</v>
      </c>
      <c r="D130" s="7" t="str">
        <f>"牛万光"</f>
        <v>牛万光</v>
      </c>
      <c r="E130" s="7" t="str">
        <f>"中西医临床医学系"</f>
        <v>中西医临床医学系</v>
      </c>
      <c r="F130" s="7" t="str">
        <f>"2020.07"</f>
        <v>2020.07</v>
      </c>
      <c r="G130" s="7" t="str">
        <f t="shared" si="18"/>
        <v>本科</v>
      </c>
      <c r="H130" s="7" t="str">
        <f>"海南儋州"</f>
        <v>海南儋州</v>
      </c>
      <c r="I130" s="7"/>
    </row>
    <row r="131" spans="1:9" ht="30.75" customHeight="1">
      <c r="A131" s="6">
        <v>129</v>
      </c>
      <c r="B131" s="7" t="str">
        <f>"252220200802112033221"</f>
        <v>252220200802112033221</v>
      </c>
      <c r="C131" s="7" t="s">
        <v>27</v>
      </c>
      <c r="D131" s="7" t="str">
        <f>"高秀妹"</f>
        <v>高秀妹</v>
      </c>
      <c r="E131" s="7" t="str">
        <f>"护理"</f>
        <v>护理</v>
      </c>
      <c r="F131" s="7" t="str">
        <f>"2020.06"</f>
        <v>2020.06</v>
      </c>
      <c r="G131" s="7" t="str">
        <f aca="true" t="shared" si="21" ref="G131:G139">"大专"</f>
        <v>大专</v>
      </c>
      <c r="H131" s="7" t="str">
        <f t="shared" si="20"/>
        <v>海南省儋州市</v>
      </c>
      <c r="I131" s="7"/>
    </row>
    <row r="132" spans="1:9" ht="30.75" customHeight="1">
      <c r="A132" s="6">
        <v>130</v>
      </c>
      <c r="B132" s="7" t="str">
        <f>"252220200802153428388"</f>
        <v>252220200802153428388</v>
      </c>
      <c r="C132" s="7" t="s">
        <v>27</v>
      </c>
      <c r="D132" s="7" t="str">
        <f>"马美红"</f>
        <v>马美红</v>
      </c>
      <c r="E132" s="7" t="str">
        <f>"护理专业"</f>
        <v>护理专业</v>
      </c>
      <c r="F132" s="7" t="str">
        <f>"2020-06"</f>
        <v>2020-06</v>
      </c>
      <c r="G132" s="7" t="str">
        <f t="shared" si="21"/>
        <v>大专</v>
      </c>
      <c r="H132" s="7" t="str">
        <f>"海南儋州"</f>
        <v>海南儋州</v>
      </c>
      <c r="I132" s="7"/>
    </row>
    <row r="133" spans="1:9" ht="30.75" customHeight="1">
      <c r="A133" s="6">
        <v>131</v>
      </c>
      <c r="B133" s="7" t="str">
        <f>"252220200802195422532"</f>
        <v>252220200802195422532</v>
      </c>
      <c r="C133" s="7" t="s">
        <v>27</v>
      </c>
      <c r="D133" s="7" t="str">
        <f>"凌珩然"</f>
        <v>凌珩然</v>
      </c>
      <c r="E133" s="7" t="str">
        <f>"护理"</f>
        <v>护理</v>
      </c>
      <c r="F133" s="7" t="str">
        <f>"2020.06"</f>
        <v>2020.06</v>
      </c>
      <c r="G133" s="7" t="str">
        <f t="shared" si="21"/>
        <v>大专</v>
      </c>
      <c r="H133" s="7" t="str">
        <f>"海南省儋州市"</f>
        <v>海南省儋州市</v>
      </c>
      <c r="I133" s="7"/>
    </row>
    <row r="134" spans="1:9" ht="30.75" customHeight="1">
      <c r="A134" s="6">
        <v>132</v>
      </c>
      <c r="B134" s="7" t="str">
        <f>"252220200802232544608"</f>
        <v>252220200802232544608</v>
      </c>
      <c r="C134" s="7" t="s">
        <v>27</v>
      </c>
      <c r="D134" s="7" t="str">
        <f>"曾娟女"</f>
        <v>曾娟女</v>
      </c>
      <c r="E134" s="7" t="str">
        <f>"护理"</f>
        <v>护理</v>
      </c>
      <c r="F134" s="7" t="str">
        <f>"2020.06"</f>
        <v>2020.06</v>
      </c>
      <c r="G134" s="7" t="str">
        <f t="shared" si="21"/>
        <v>大专</v>
      </c>
      <c r="H134" s="7" t="str">
        <f>"海南医学院"</f>
        <v>海南医学院</v>
      </c>
      <c r="I134" s="7"/>
    </row>
    <row r="135" spans="1:9" ht="30.75" customHeight="1">
      <c r="A135" s="6">
        <v>133</v>
      </c>
      <c r="B135" s="7" t="str">
        <f>"252220200803004059623"</f>
        <v>252220200803004059623</v>
      </c>
      <c r="C135" s="7" t="s">
        <v>27</v>
      </c>
      <c r="D135" s="7" t="str">
        <f>"林道辉"</f>
        <v>林道辉</v>
      </c>
      <c r="E135" s="7" t="str">
        <f>"护理"</f>
        <v>护理</v>
      </c>
      <c r="F135" s="7" t="str">
        <f>"2020.07"</f>
        <v>2020.07</v>
      </c>
      <c r="G135" s="7" t="str">
        <f t="shared" si="21"/>
        <v>大专</v>
      </c>
      <c r="H135" s="7" t="str">
        <f>"海南儋州"</f>
        <v>海南儋州</v>
      </c>
      <c r="I135" s="7"/>
    </row>
    <row r="136" spans="1:9" ht="30.75" customHeight="1">
      <c r="A136" s="6">
        <v>134</v>
      </c>
      <c r="B136" s="7" t="str">
        <f>"252220200803104124740"</f>
        <v>252220200803104124740</v>
      </c>
      <c r="C136" s="7" t="s">
        <v>27</v>
      </c>
      <c r="D136" s="7" t="str">
        <f>"朱学科"</f>
        <v>朱学科</v>
      </c>
      <c r="E136" s="7" t="str">
        <f>"护理学"</f>
        <v>护理学</v>
      </c>
      <c r="F136" s="7" t="str">
        <f>"2020.06"</f>
        <v>2020.06</v>
      </c>
      <c r="G136" s="7" t="str">
        <f t="shared" si="21"/>
        <v>大专</v>
      </c>
      <c r="H136" s="7" t="str">
        <f>"海南省儋州市"</f>
        <v>海南省儋州市</v>
      </c>
      <c r="I136" s="7"/>
    </row>
    <row r="137" spans="1:9" ht="30.75" customHeight="1">
      <c r="A137" s="6">
        <v>135</v>
      </c>
      <c r="B137" s="7" t="str">
        <f>"2522202008032106491017"</f>
        <v>2522202008032106491017</v>
      </c>
      <c r="C137" s="7" t="s">
        <v>27</v>
      </c>
      <c r="D137" s="7" t="str">
        <f>"李宝月"</f>
        <v>李宝月</v>
      </c>
      <c r="E137" s="7" t="str">
        <f>"护理"</f>
        <v>护理</v>
      </c>
      <c r="F137" s="7" t="str">
        <f>"2020.06"</f>
        <v>2020.06</v>
      </c>
      <c r="G137" s="7" t="str">
        <f t="shared" si="21"/>
        <v>大专</v>
      </c>
      <c r="H137" s="7" t="str">
        <f>"海南儋州"</f>
        <v>海南儋州</v>
      </c>
      <c r="I137" s="7"/>
    </row>
    <row r="138" spans="1:9" ht="30.75" customHeight="1">
      <c r="A138" s="6">
        <v>136</v>
      </c>
      <c r="B138" s="7" t="str">
        <f>"2522202008032129211026"</f>
        <v>2522202008032129211026</v>
      </c>
      <c r="C138" s="7" t="s">
        <v>27</v>
      </c>
      <c r="D138" s="7" t="str">
        <f>"何吉妃"</f>
        <v>何吉妃</v>
      </c>
      <c r="E138" s="7" t="str">
        <f>"护理"</f>
        <v>护理</v>
      </c>
      <c r="F138" s="7" t="str">
        <f>"2020年6月"</f>
        <v>2020年6月</v>
      </c>
      <c r="G138" s="7" t="str">
        <f t="shared" si="21"/>
        <v>大专</v>
      </c>
      <c r="H138" s="7" t="str">
        <f>"海南儋州"</f>
        <v>海南儋州</v>
      </c>
      <c r="I138" s="7"/>
    </row>
    <row r="139" spans="1:9" ht="30.75" customHeight="1">
      <c r="A139" s="6">
        <v>137</v>
      </c>
      <c r="B139" s="7" t="str">
        <f>"252220200803161321895"</f>
        <v>252220200803161321895</v>
      </c>
      <c r="C139" s="7" t="s">
        <v>28</v>
      </c>
      <c r="D139" s="7" t="str">
        <f>"简小花"</f>
        <v>简小花</v>
      </c>
      <c r="E139" s="7" t="str">
        <f>"药学"</f>
        <v>药学</v>
      </c>
      <c r="F139" s="7" t="str">
        <f>"2020.07"</f>
        <v>2020.07</v>
      </c>
      <c r="G139" s="7" t="str">
        <f t="shared" si="21"/>
        <v>大专</v>
      </c>
      <c r="H139" s="7" t="str">
        <f>"海南省儋州市"</f>
        <v>海南省儋州市</v>
      </c>
      <c r="I139" s="7"/>
    </row>
    <row r="140" spans="1:9" ht="30.75" customHeight="1">
      <c r="A140" s="6">
        <v>138</v>
      </c>
      <c r="B140" s="7" t="str">
        <f>"2522202008032126471025"</f>
        <v>2522202008032126471025</v>
      </c>
      <c r="C140" s="7" t="s">
        <v>28</v>
      </c>
      <c r="D140" s="7" t="str">
        <f>"李五女"</f>
        <v>李五女</v>
      </c>
      <c r="E140" s="7" t="str">
        <f>"药学"</f>
        <v>药学</v>
      </c>
      <c r="F140" s="7" t="str">
        <f>"2020.07"</f>
        <v>2020.07</v>
      </c>
      <c r="G140" s="7" t="str">
        <f>"本科"</f>
        <v>本科</v>
      </c>
      <c r="H140" s="7" t="str">
        <f>"海南省儋州市"</f>
        <v>海南省儋州市</v>
      </c>
      <c r="I140" s="7"/>
    </row>
    <row r="141" spans="1:9" ht="30.75" customHeight="1">
      <c r="A141" s="6">
        <v>139</v>
      </c>
      <c r="B141" s="7" t="str">
        <f>"2522202008032149071038"</f>
        <v>2522202008032149071038</v>
      </c>
      <c r="C141" s="7" t="s">
        <v>28</v>
      </c>
      <c r="D141" s="7" t="str">
        <f>"周芳梅"</f>
        <v>周芳梅</v>
      </c>
      <c r="E141" s="7" t="str">
        <f>"药学专业"</f>
        <v>药学专业</v>
      </c>
      <c r="F141" s="7" t="str">
        <f>"2020.07"</f>
        <v>2020.07</v>
      </c>
      <c r="G141" s="7" t="str">
        <f>"本科"</f>
        <v>本科</v>
      </c>
      <c r="H141" s="7" t="str">
        <f>"海南儋州"</f>
        <v>海南儋州</v>
      </c>
      <c r="I141" s="7"/>
    </row>
    <row r="142" spans="1:9" ht="30.75" customHeight="1">
      <c r="A142" s="6">
        <v>140</v>
      </c>
      <c r="B142" s="7" t="str">
        <f>"2522202008032203111045"</f>
        <v>2522202008032203111045</v>
      </c>
      <c r="C142" s="7" t="s">
        <v>28</v>
      </c>
      <c r="D142" s="7" t="str">
        <f>"王明妍"</f>
        <v>王明妍</v>
      </c>
      <c r="E142" s="7" t="str">
        <f>"药学"</f>
        <v>药学</v>
      </c>
      <c r="F142" s="7" t="str">
        <f>"2020.06"</f>
        <v>2020.06</v>
      </c>
      <c r="G142" s="7" t="str">
        <f>"本科"</f>
        <v>本科</v>
      </c>
      <c r="H142" s="7" t="str">
        <f>"海南省儋州市"</f>
        <v>海南省儋州市</v>
      </c>
      <c r="I142" s="7"/>
    </row>
    <row r="143" spans="1:9" ht="30.75" customHeight="1">
      <c r="A143" s="6">
        <v>141</v>
      </c>
      <c r="B143" s="7" t="str">
        <f>"2522202008041307151185"</f>
        <v>2522202008041307151185</v>
      </c>
      <c r="C143" s="7" t="s">
        <v>28</v>
      </c>
      <c r="D143" s="7" t="str">
        <f>"刘春花"</f>
        <v>刘春花</v>
      </c>
      <c r="E143" s="7" t="str">
        <f>"药学"</f>
        <v>药学</v>
      </c>
      <c r="F143" s="7" t="str">
        <f>"2020.07"</f>
        <v>2020.07</v>
      </c>
      <c r="G143" s="7" t="str">
        <f>"大专"</f>
        <v>大专</v>
      </c>
      <c r="H143" s="7" t="str">
        <f>"海南省儋州市"</f>
        <v>海南省儋州市</v>
      </c>
      <c r="I143" s="7"/>
    </row>
    <row r="144" spans="1:9" ht="30.75" customHeight="1">
      <c r="A144" s="6">
        <v>142</v>
      </c>
      <c r="B144" s="7" t="str">
        <f>"2522202008042130301336"</f>
        <v>2522202008042130301336</v>
      </c>
      <c r="C144" s="7" t="s">
        <v>28</v>
      </c>
      <c r="D144" s="7" t="str">
        <f>"赵菊爱"</f>
        <v>赵菊爱</v>
      </c>
      <c r="E144" s="7" t="str">
        <f>"药学"</f>
        <v>药学</v>
      </c>
      <c r="F144" s="7" t="str">
        <f>"2020.6"</f>
        <v>2020.6</v>
      </c>
      <c r="G144" s="7" t="str">
        <f>"大专"</f>
        <v>大专</v>
      </c>
      <c r="H144" s="7" t="str">
        <f>"海南儋州"</f>
        <v>海南儋州</v>
      </c>
      <c r="I144" s="7"/>
    </row>
    <row r="145" spans="1:9" ht="30.75" customHeight="1">
      <c r="A145" s="6">
        <v>143</v>
      </c>
      <c r="B145" s="7" t="str">
        <f>"2522202008051544201485"</f>
        <v>2522202008051544201485</v>
      </c>
      <c r="C145" s="7" t="s">
        <v>28</v>
      </c>
      <c r="D145" s="7" t="str">
        <f>"李有雄"</f>
        <v>李有雄</v>
      </c>
      <c r="E145" s="7" t="str">
        <f>"药物制剂"</f>
        <v>药物制剂</v>
      </c>
      <c r="F145" s="7" t="str">
        <f>"2020.07"</f>
        <v>2020.07</v>
      </c>
      <c r="G145" s="7" t="str">
        <f aca="true" t="shared" si="22" ref="G145:G150">"本科"</f>
        <v>本科</v>
      </c>
      <c r="H145" s="7" t="str">
        <f>"海南儋州"</f>
        <v>海南儋州</v>
      </c>
      <c r="I145" s="7"/>
    </row>
    <row r="146" spans="1:9" ht="30.75" customHeight="1">
      <c r="A146" s="6">
        <v>144</v>
      </c>
      <c r="B146" s="7" t="str">
        <f>"25222020080208273732"</f>
        <v>25222020080208273732</v>
      </c>
      <c r="C146" s="7" t="s">
        <v>29</v>
      </c>
      <c r="D146" s="7" t="str">
        <f>"赵国翠"</f>
        <v>赵国翠</v>
      </c>
      <c r="E146" s="7" t="str">
        <f>"中药学"</f>
        <v>中药学</v>
      </c>
      <c r="F146" s="7" t="str">
        <f>"2020.7"</f>
        <v>2020.7</v>
      </c>
      <c r="G146" s="7" t="str">
        <f t="shared" si="22"/>
        <v>本科</v>
      </c>
      <c r="H146" s="7" t="str">
        <f>"海南儋州"</f>
        <v>海南儋州</v>
      </c>
      <c r="I146" s="7"/>
    </row>
    <row r="147" spans="1:9" ht="30.75" customHeight="1">
      <c r="A147" s="6">
        <v>145</v>
      </c>
      <c r="B147" s="7" t="str">
        <f>"252220200802110024189"</f>
        <v>252220200802110024189</v>
      </c>
      <c r="C147" s="7" t="s">
        <v>29</v>
      </c>
      <c r="D147" s="7" t="str">
        <f>"杨春妹"</f>
        <v>杨春妹</v>
      </c>
      <c r="E147" s="7" t="str">
        <f>"中药学"</f>
        <v>中药学</v>
      </c>
      <c r="F147" s="7" t="str">
        <f>"2020.07"</f>
        <v>2020.07</v>
      </c>
      <c r="G147" s="7" t="str">
        <f t="shared" si="22"/>
        <v>本科</v>
      </c>
      <c r="H147" s="7" t="str">
        <f>"海南省儋州市"</f>
        <v>海南省儋州市</v>
      </c>
      <c r="I147" s="7"/>
    </row>
    <row r="148" spans="1:9" ht="30.75" customHeight="1">
      <c r="A148" s="6">
        <v>146</v>
      </c>
      <c r="B148" s="7" t="str">
        <f>"252220200802123237292"</f>
        <v>252220200802123237292</v>
      </c>
      <c r="C148" s="7" t="s">
        <v>29</v>
      </c>
      <c r="D148" s="7" t="str">
        <f>"李爱英"</f>
        <v>李爱英</v>
      </c>
      <c r="E148" s="7" t="str">
        <f>"中药学"</f>
        <v>中药学</v>
      </c>
      <c r="F148" s="7" t="str">
        <f>"2020.06.30"</f>
        <v>2020.06.30</v>
      </c>
      <c r="G148" s="7" t="str">
        <f t="shared" si="22"/>
        <v>本科</v>
      </c>
      <c r="H148" s="7" t="str">
        <f>"儋州"</f>
        <v>儋州</v>
      </c>
      <c r="I148" s="7"/>
    </row>
    <row r="149" spans="1:9" ht="30.75" customHeight="1">
      <c r="A149" s="6">
        <v>147</v>
      </c>
      <c r="B149" s="7" t="str">
        <f>"2522202008061636111777"</f>
        <v>2522202008061636111777</v>
      </c>
      <c r="C149" s="7" t="s">
        <v>29</v>
      </c>
      <c r="D149" s="7" t="str">
        <f>"何贵智"</f>
        <v>何贵智</v>
      </c>
      <c r="E149" s="7" t="str">
        <f>"中药学"</f>
        <v>中药学</v>
      </c>
      <c r="F149" s="7" t="str">
        <f>"2020.07"</f>
        <v>2020.07</v>
      </c>
      <c r="G149" s="7" t="str">
        <f t="shared" si="22"/>
        <v>本科</v>
      </c>
      <c r="H149" s="7" t="str">
        <f>"海南儋州"</f>
        <v>海南儋州</v>
      </c>
      <c r="I149" s="7"/>
    </row>
    <row r="150" spans="1:9" ht="30.75" customHeight="1">
      <c r="A150" s="6">
        <v>148</v>
      </c>
      <c r="B150" s="7" t="str">
        <f>"252220200802094542111"</f>
        <v>252220200802094542111</v>
      </c>
      <c r="C150" s="7" t="s">
        <v>30</v>
      </c>
      <c r="D150" s="7" t="str">
        <f>"曾翠玲"</f>
        <v>曾翠玲</v>
      </c>
      <c r="E150" s="7" t="str">
        <f>"医学检验技术"</f>
        <v>医学检验技术</v>
      </c>
      <c r="F150" s="7" t="str">
        <f>"2020.7"</f>
        <v>2020.7</v>
      </c>
      <c r="G150" s="7" t="str">
        <f t="shared" si="22"/>
        <v>本科</v>
      </c>
      <c r="H150" s="7" t="str">
        <f>"海南儋州"</f>
        <v>海南儋州</v>
      </c>
      <c r="I150" s="7"/>
    </row>
    <row r="151" spans="1:9" ht="30.75" customHeight="1">
      <c r="A151" s="6">
        <v>149</v>
      </c>
      <c r="B151" s="7" t="str">
        <f>"252220200803034941628"</f>
        <v>252220200803034941628</v>
      </c>
      <c r="C151" s="7" t="s">
        <v>30</v>
      </c>
      <c r="D151" s="7" t="str">
        <f>"王艳桃"</f>
        <v>王艳桃</v>
      </c>
      <c r="E151" s="7" t="str">
        <f>"医学检验技术"</f>
        <v>医学检验技术</v>
      </c>
      <c r="F151" s="7" t="str">
        <f>"2020.06"</f>
        <v>2020.06</v>
      </c>
      <c r="G151" s="7" t="str">
        <f>"大专"</f>
        <v>大专</v>
      </c>
      <c r="H151" s="7" t="str">
        <f>"海南儋州"</f>
        <v>海南儋州</v>
      </c>
      <c r="I151" s="7"/>
    </row>
    <row r="152" spans="1:9" ht="30.75" customHeight="1">
      <c r="A152" s="6">
        <v>150</v>
      </c>
      <c r="B152" s="7" t="str">
        <f>"252220200803100323709"</f>
        <v>252220200803100323709</v>
      </c>
      <c r="C152" s="7" t="s">
        <v>30</v>
      </c>
      <c r="D152" s="7" t="str">
        <f>"唐傅鸿"</f>
        <v>唐傅鸿</v>
      </c>
      <c r="E152" s="7" t="str">
        <f>"医学检验技术"</f>
        <v>医学检验技术</v>
      </c>
      <c r="F152" s="7" t="str">
        <f>"2020.07"</f>
        <v>2020.07</v>
      </c>
      <c r="G152" s="7" t="str">
        <f>"大专"</f>
        <v>大专</v>
      </c>
      <c r="H152" s="7" t="str">
        <f>"海南儋州"</f>
        <v>海南儋州</v>
      </c>
      <c r="I152" s="7"/>
    </row>
    <row r="153" spans="1:9" ht="30.75" customHeight="1">
      <c r="A153" s="6">
        <v>151</v>
      </c>
      <c r="B153" s="7" t="str">
        <f>"252220200803152806870"</f>
        <v>252220200803152806870</v>
      </c>
      <c r="C153" s="7" t="s">
        <v>30</v>
      </c>
      <c r="D153" s="7" t="str">
        <f>"符玉恋"</f>
        <v>符玉恋</v>
      </c>
      <c r="E153" s="7" t="str">
        <f>"医学检验技术"</f>
        <v>医学检验技术</v>
      </c>
      <c r="F153" s="7" t="str">
        <f>"2020.07"</f>
        <v>2020.07</v>
      </c>
      <c r="G153" s="7" t="str">
        <f>"本科"</f>
        <v>本科</v>
      </c>
      <c r="H153" s="7" t="str">
        <f>"海南儋州"</f>
        <v>海南儋州</v>
      </c>
      <c r="I153" s="7"/>
    </row>
    <row r="154" spans="1:9" ht="30.75" customHeight="1">
      <c r="A154" s="6">
        <v>152</v>
      </c>
      <c r="B154" s="7" t="str">
        <f>"2522202008032159271043"</f>
        <v>2522202008032159271043</v>
      </c>
      <c r="C154" s="7" t="s">
        <v>30</v>
      </c>
      <c r="D154" s="7" t="str">
        <f>"吴乾月"</f>
        <v>吴乾月</v>
      </c>
      <c r="E154" s="7" t="str">
        <f>"医学检验技术专业"</f>
        <v>医学检验技术专业</v>
      </c>
      <c r="F154" s="7" t="str">
        <f>"2020.07"</f>
        <v>2020.07</v>
      </c>
      <c r="G154" s="7" t="str">
        <f>"本科"</f>
        <v>本科</v>
      </c>
      <c r="H154" s="7" t="str">
        <f aca="true" t="shared" si="23" ref="H154:H159">"海南省儋州市"</f>
        <v>海南省儋州市</v>
      </c>
      <c r="I154" s="7"/>
    </row>
    <row r="155" spans="1:9" ht="30.75" customHeight="1">
      <c r="A155" s="6">
        <v>153</v>
      </c>
      <c r="B155" s="7" t="str">
        <f>"252220200802230153603"</f>
        <v>252220200802230153603</v>
      </c>
      <c r="C155" s="7" t="s">
        <v>31</v>
      </c>
      <c r="D155" s="7" t="str">
        <f>"李兑坤"</f>
        <v>李兑坤</v>
      </c>
      <c r="E155" s="7" t="str">
        <f>"助产"</f>
        <v>助产</v>
      </c>
      <c r="F155" s="7" t="str">
        <f>"2020.07"</f>
        <v>2020.07</v>
      </c>
      <c r="G155" s="7" t="str">
        <f>"大专"</f>
        <v>大专</v>
      </c>
      <c r="H155" s="7" t="str">
        <f>"海南儋州"</f>
        <v>海南儋州</v>
      </c>
      <c r="I155" s="7"/>
    </row>
    <row r="156" spans="1:9" ht="30.75" customHeight="1">
      <c r="A156" s="6">
        <v>154</v>
      </c>
      <c r="B156" s="7" t="str">
        <f>"252220200803132303824"</f>
        <v>252220200803132303824</v>
      </c>
      <c r="C156" s="7" t="s">
        <v>31</v>
      </c>
      <c r="D156" s="7" t="str">
        <f>"符梅花"</f>
        <v>符梅花</v>
      </c>
      <c r="E156" s="7" t="str">
        <f>"助产"</f>
        <v>助产</v>
      </c>
      <c r="F156" s="7" t="str">
        <f>"2020.06"</f>
        <v>2020.06</v>
      </c>
      <c r="G156" s="7" t="str">
        <f>"大专"</f>
        <v>大专</v>
      </c>
      <c r="H156" s="7" t="str">
        <f t="shared" si="23"/>
        <v>海南省儋州市</v>
      </c>
      <c r="I156" s="7"/>
    </row>
    <row r="157" spans="1:9" ht="30.75" customHeight="1">
      <c r="A157" s="6">
        <v>155</v>
      </c>
      <c r="B157" s="7" t="str">
        <f>"25222020080208452147"</f>
        <v>25222020080208452147</v>
      </c>
      <c r="C157" s="7" t="s">
        <v>32</v>
      </c>
      <c r="D157" s="7" t="str">
        <f>"黎族玲"</f>
        <v>黎族玲</v>
      </c>
      <c r="E157" s="7" t="str">
        <f>"护理"</f>
        <v>护理</v>
      </c>
      <c r="F157" s="7" t="str">
        <f>"2020年6月16日"</f>
        <v>2020年6月16日</v>
      </c>
      <c r="G157" s="7" t="str">
        <f>"大专"</f>
        <v>大专</v>
      </c>
      <c r="H157" s="7" t="str">
        <f>"海南省儋州市中和镇"</f>
        <v>海南省儋州市中和镇</v>
      </c>
      <c r="I157" s="7"/>
    </row>
    <row r="158" spans="1:9" ht="30.75" customHeight="1">
      <c r="A158" s="6">
        <v>156</v>
      </c>
      <c r="B158" s="7" t="str">
        <f>"25222020080209170781"</f>
        <v>25222020080209170781</v>
      </c>
      <c r="C158" s="7" t="s">
        <v>32</v>
      </c>
      <c r="D158" s="7" t="str">
        <f>"林有彬"</f>
        <v>林有彬</v>
      </c>
      <c r="E158" s="7" t="str">
        <f>"护理"</f>
        <v>护理</v>
      </c>
      <c r="F158" s="7" t="str">
        <f>"2020.06"</f>
        <v>2020.06</v>
      </c>
      <c r="G158" s="7" t="str">
        <f>"中专"</f>
        <v>中专</v>
      </c>
      <c r="H158" s="7" t="str">
        <f>"海南儋州"</f>
        <v>海南儋州</v>
      </c>
      <c r="I158" s="7"/>
    </row>
    <row r="159" spans="1:9" ht="30.75" customHeight="1">
      <c r="A159" s="6">
        <v>157</v>
      </c>
      <c r="B159" s="7" t="str">
        <f>"252220200802102043147"</f>
        <v>252220200802102043147</v>
      </c>
      <c r="C159" s="7" t="s">
        <v>32</v>
      </c>
      <c r="D159" s="7" t="str">
        <f>"李美娟"</f>
        <v>李美娟</v>
      </c>
      <c r="E159" s="7" t="str">
        <f>"助产"</f>
        <v>助产</v>
      </c>
      <c r="F159" s="7" t="str">
        <f>"2020.06"</f>
        <v>2020.06</v>
      </c>
      <c r="G159" s="7" t="str">
        <f>"中专"</f>
        <v>中专</v>
      </c>
      <c r="H159" s="7" t="str">
        <f t="shared" si="23"/>
        <v>海南省儋州市</v>
      </c>
      <c r="I159" s="7"/>
    </row>
    <row r="160" spans="1:9" ht="30.75" customHeight="1">
      <c r="A160" s="6">
        <v>158</v>
      </c>
      <c r="B160" s="7" t="str">
        <f>"252220200802102116148"</f>
        <v>252220200802102116148</v>
      </c>
      <c r="C160" s="7" t="s">
        <v>32</v>
      </c>
      <c r="D160" s="7" t="str">
        <f>"吴方南"</f>
        <v>吴方南</v>
      </c>
      <c r="E160" s="7" t="str">
        <f>"助产"</f>
        <v>助产</v>
      </c>
      <c r="F160" s="7" t="str">
        <f>"2020.06"</f>
        <v>2020.06</v>
      </c>
      <c r="G160" s="7" t="str">
        <f>"中专"</f>
        <v>中专</v>
      </c>
      <c r="H160" s="7" t="str">
        <f>"海南儋州"</f>
        <v>海南儋州</v>
      </c>
      <c r="I160" s="7"/>
    </row>
    <row r="161" spans="1:9" ht="30.75" customHeight="1">
      <c r="A161" s="6">
        <v>159</v>
      </c>
      <c r="B161" s="7" t="str">
        <f>"252220200802110425200"</f>
        <v>252220200802110425200</v>
      </c>
      <c r="C161" s="7" t="s">
        <v>32</v>
      </c>
      <c r="D161" s="7" t="str">
        <f>"黎雄秋"</f>
        <v>黎雄秋</v>
      </c>
      <c r="E161" s="7" t="str">
        <f>"护理"</f>
        <v>护理</v>
      </c>
      <c r="F161" s="7" t="str">
        <f>"2020-06-30"</f>
        <v>2020-06-30</v>
      </c>
      <c r="G161" s="7" t="str">
        <f>"大专"</f>
        <v>大专</v>
      </c>
      <c r="H161" s="7" t="str">
        <f>"海南省儋州市"</f>
        <v>海南省儋州市</v>
      </c>
      <c r="I161" s="7"/>
    </row>
    <row r="162" spans="1:9" ht="30.75" customHeight="1">
      <c r="A162" s="6">
        <v>160</v>
      </c>
      <c r="B162" s="7" t="str">
        <f>"252220200802110444201"</f>
        <v>252220200802110444201</v>
      </c>
      <c r="C162" s="7" t="s">
        <v>32</v>
      </c>
      <c r="D162" s="7" t="str">
        <f>"李花青"</f>
        <v>李花青</v>
      </c>
      <c r="E162" s="7" t="str">
        <f>"护理"</f>
        <v>护理</v>
      </c>
      <c r="F162" s="7" t="str">
        <f>"2020.06"</f>
        <v>2020.06</v>
      </c>
      <c r="G162" s="7" t="str">
        <f>"中专"</f>
        <v>中专</v>
      </c>
      <c r="H162" s="7" t="str">
        <f>"海南省儋州市"</f>
        <v>海南省儋州市</v>
      </c>
      <c r="I162" s="7"/>
    </row>
    <row r="163" spans="1:9" ht="30.75" customHeight="1">
      <c r="A163" s="6">
        <v>161</v>
      </c>
      <c r="B163" s="7" t="str">
        <f>"252220200802114848250"</f>
        <v>252220200802114848250</v>
      </c>
      <c r="C163" s="7" t="s">
        <v>32</v>
      </c>
      <c r="D163" s="7" t="str">
        <f>"李兰女"</f>
        <v>李兰女</v>
      </c>
      <c r="E163" s="7" t="str">
        <f>"护理学"</f>
        <v>护理学</v>
      </c>
      <c r="F163" s="7" t="str">
        <f>"2020.06"</f>
        <v>2020.06</v>
      </c>
      <c r="G163" s="7" t="str">
        <f>"中专"</f>
        <v>中专</v>
      </c>
      <c r="H163" s="7" t="str">
        <f>"海南儋州"</f>
        <v>海南儋州</v>
      </c>
      <c r="I163" s="7"/>
    </row>
    <row r="164" spans="1:9" ht="30.75" customHeight="1">
      <c r="A164" s="6">
        <v>162</v>
      </c>
      <c r="B164" s="7" t="str">
        <f>"252220200802120236268"</f>
        <v>252220200802120236268</v>
      </c>
      <c r="C164" s="7" t="s">
        <v>32</v>
      </c>
      <c r="D164" s="7" t="str">
        <f>"李开振"</f>
        <v>李开振</v>
      </c>
      <c r="E164" s="7" t="str">
        <f>"护理"</f>
        <v>护理</v>
      </c>
      <c r="F164" s="7" t="str">
        <f>"2020年7月01日"</f>
        <v>2020年7月01日</v>
      </c>
      <c r="G164" s="7" t="str">
        <f>"大专"</f>
        <v>大专</v>
      </c>
      <c r="H164" s="7" t="str">
        <f>"海南省儋州市"</f>
        <v>海南省儋州市</v>
      </c>
      <c r="I164" s="7"/>
    </row>
    <row r="165" spans="1:9" ht="30.75" customHeight="1">
      <c r="A165" s="6">
        <v>163</v>
      </c>
      <c r="B165" s="7" t="str">
        <f>"252220200802134841343"</f>
        <v>252220200802134841343</v>
      </c>
      <c r="C165" s="7" t="s">
        <v>32</v>
      </c>
      <c r="D165" s="7" t="str">
        <f>"羊气坤"</f>
        <v>羊气坤</v>
      </c>
      <c r="E165" s="7" t="str">
        <f>"护理"</f>
        <v>护理</v>
      </c>
      <c r="F165" s="7" t="str">
        <f>"2020.06"</f>
        <v>2020.06</v>
      </c>
      <c r="G165" s="7" t="str">
        <f>"中专"</f>
        <v>中专</v>
      </c>
      <c r="H165" s="7" t="str">
        <f>"海南省儋州市"</f>
        <v>海南省儋州市</v>
      </c>
      <c r="I165" s="7"/>
    </row>
    <row r="166" spans="1:9" ht="30.75" customHeight="1">
      <c r="A166" s="6">
        <v>164</v>
      </c>
      <c r="B166" s="7" t="str">
        <f>"252220200802151856381"</f>
        <v>252220200802151856381</v>
      </c>
      <c r="C166" s="7" t="s">
        <v>32</v>
      </c>
      <c r="D166" s="7" t="str">
        <f>"羊媛教"</f>
        <v>羊媛教</v>
      </c>
      <c r="E166" s="7" t="str">
        <f>"护理"</f>
        <v>护理</v>
      </c>
      <c r="F166" s="7" t="str">
        <f>"2020.06"</f>
        <v>2020.06</v>
      </c>
      <c r="G166" s="7" t="str">
        <f>"中专"</f>
        <v>中专</v>
      </c>
      <c r="H166" s="7" t="str">
        <f>"海南省儋州市"</f>
        <v>海南省儋州市</v>
      </c>
      <c r="I166" s="7"/>
    </row>
    <row r="167" spans="1:9" ht="30.75" customHeight="1">
      <c r="A167" s="6">
        <v>165</v>
      </c>
      <c r="B167" s="7" t="str">
        <f>"252220200802161438422"</f>
        <v>252220200802161438422</v>
      </c>
      <c r="C167" s="7" t="s">
        <v>32</v>
      </c>
      <c r="D167" s="7" t="str">
        <f>"梁宝琼"</f>
        <v>梁宝琼</v>
      </c>
      <c r="E167" s="7" t="str">
        <f>"护理"</f>
        <v>护理</v>
      </c>
      <c r="F167" s="7" t="str">
        <f>"2020.06"</f>
        <v>2020.06</v>
      </c>
      <c r="G167" s="7" t="str">
        <f>"中专"</f>
        <v>中专</v>
      </c>
      <c r="H167" s="7" t="str">
        <f>"海南儋州市"</f>
        <v>海南儋州市</v>
      </c>
      <c r="I167" s="7"/>
    </row>
    <row r="168" spans="1:9" ht="30.75" customHeight="1">
      <c r="A168" s="6">
        <v>166</v>
      </c>
      <c r="B168" s="7" t="str">
        <f>"252220200802162826428"</f>
        <v>252220200802162826428</v>
      </c>
      <c r="C168" s="7" t="s">
        <v>32</v>
      </c>
      <c r="D168" s="7" t="str">
        <f>"许春柳"</f>
        <v>许春柳</v>
      </c>
      <c r="E168" s="7" t="str">
        <f>"护理学（涉外方向）"</f>
        <v>护理学（涉外方向）</v>
      </c>
      <c r="F168" s="7" t="str">
        <f>"2020.07"</f>
        <v>2020.07</v>
      </c>
      <c r="G168" s="7" t="str">
        <f>"本科"</f>
        <v>本科</v>
      </c>
      <c r="H168" s="7" t="str">
        <f>"海南省儋州市"</f>
        <v>海南省儋州市</v>
      </c>
      <c r="I168" s="7"/>
    </row>
    <row r="169" spans="1:9" ht="30.75" customHeight="1">
      <c r="A169" s="6">
        <v>167</v>
      </c>
      <c r="B169" s="7" t="str">
        <f>"252220200802173316464"</f>
        <v>252220200802173316464</v>
      </c>
      <c r="C169" s="7" t="s">
        <v>32</v>
      </c>
      <c r="D169" s="7" t="str">
        <f>"许晶"</f>
        <v>许晶</v>
      </c>
      <c r="E169" s="7" t="str">
        <f>"护理专业"</f>
        <v>护理专业</v>
      </c>
      <c r="F169" s="7" t="str">
        <f>"2020.07"</f>
        <v>2020.07</v>
      </c>
      <c r="G169" s="7" t="str">
        <f>"大专"</f>
        <v>大专</v>
      </c>
      <c r="H169" s="7" t="str">
        <f>"海南儋州"</f>
        <v>海南儋州</v>
      </c>
      <c r="I169" s="7"/>
    </row>
    <row r="170" spans="1:9" ht="30.75" customHeight="1">
      <c r="A170" s="6">
        <v>168</v>
      </c>
      <c r="B170" s="7" t="str">
        <f>"252220200802190649506"</f>
        <v>252220200802190649506</v>
      </c>
      <c r="C170" s="7" t="s">
        <v>32</v>
      </c>
      <c r="D170" s="7" t="str">
        <f>"陈玉敏"</f>
        <v>陈玉敏</v>
      </c>
      <c r="E170" s="7" t="str">
        <f>"护理"</f>
        <v>护理</v>
      </c>
      <c r="F170" s="7" t="str">
        <f aca="true" t="shared" si="24" ref="F170:F175">"2020.06"</f>
        <v>2020.06</v>
      </c>
      <c r="G170" s="7" t="str">
        <f>"大专"</f>
        <v>大专</v>
      </c>
      <c r="H170" s="7" t="str">
        <f>"海南省儋州市"</f>
        <v>海南省儋州市</v>
      </c>
      <c r="I170" s="7"/>
    </row>
    <row r="171" spans="1:9" ht="30.75" customHeight="1">
      <c r="A171" s="6">
        <v>169</v>
      </c>
      <c r="B171" s="7" t="str">
        <f>"252220200802192316515"</f>
        <v>252220200802192316515</v>
      </c>
      <c r="C171" s="7" t="s">
        <v>32</v>
      </c>
      <c r="D171" s="7" t="str">
        <f>"黎妹花"</f>
        <v>黎妹花</v>
      </c>
      <c r="E171" s="7" t="str">
        <f>"助产"</f>
        <v>助产</v>
      </c>
      <c r="F171" s="7" t="str">
        <f t="shared" si="24"/>
        <v>2020.06</v>
      </c>
      <c r="G171" s="7" t="str">
        <f>"中专"</f>
        <v>中专</v>
      </c>
      <c r="H171" s="7" t="str">
        <f>"海南省儋州市"</f>
        <v>海南省儋州市</v>
      </c>
      <c r="I171" s="7"/>
    </row>
    <row r="172" spans="1:9" ht="30.75" customHeight="1">
      <c r="A172" s="6">
        <v>170</v>
      </c>
      <c r="B172" s="7" t="str">
        <f>"252220200802193118520"</f>
        <v>252220200802193118520</v>
      </c>
      <c r="C172" s="7" t="s">
        <v>32</v>
      </c>
      <c r="D172" s="7" t="str">
        <f>"吴海娜"</f>
        <v>吴海娜</v>
      </c>
      <c r="E172" s="7" t="str">
        <f>"护理"</f>
        <v>护理</v>
      </c>
      <c r="F172" s="7" t="str">
        <f t="shared" si="24"/>
        <v>2020.06</v>
      </c>
      <c r="G172" s="7" t="str">
        <f>"大专"</f>
        <v>大专</v>
      </c>
      <c r="H172" s="7" t="str">
        <f>"海南省儋州市那大镇"</f>
        <v>海南省儋州市那大镇</v>
      </c>
      <c r="I172" s="7"/>
    </row>
    <row r="173" spans="1:9" ht="30.75" customHeight="1">
      <c r="A173" s="6">
        <v>171</v>
      </c>
      <c r="B173" s="7" t="str">
        <f>"252220200802194845528"</f>
        <v>252220200802194845528</v>
      </c>
      <c r="C173" s="7" t="s">
        <v>32</v>
      </c>
      <c r="D173" s="7" t="str">
        <f>"周家香"</f>
        <v>周家香</v>
      </c>
      <c r="E173" s="7" t="str">
        <f>"护理"</f>
        <v>护理</v>
      </c>
      <c r="F173" s="7" t="str">
        <f t="shared" si="24"/>
        <v>2020.06</v>
      </c>
      <c r="G173" s="7" t="str">
        <f>"中专"</f>
        <v>中专</v>
      </c>
      <c r="H173" s="7" t="str">
        <f>"海南省儋州市"</f>
        <v>海南省儋州市</v>
      </c>
      <c r="I173" s="7"/>
    </row>
    <row r="174" spans="1:9" ht="30.75" customHeight="1">
      <c r="A174" s="6">
        <v>172</v>
      </c>
      <c r="B174" s="7" t="str">
        <f>"252220200802202140544"</f>
        <v>252220200802202140544</v>
      </c>
      <c r="C174" s="7" t="s">
        <v>32</v>
      </c>
      <c r="D174" s="7" t="str">
        <f>"何精月"</f>
        <v>何精月</v>
      </c>
      <c r="E174" s="7" t="str">
        <f>"护理"</f>
        <v>护理</v>
      </c>
      <c r="F174" s="7" t="str">
        <f t="shared" si="24"/>
        <v>2020.06</v>
      </c>
      <c r="G174" s="7" t="str">
        <f>"大专"</f>
        <v>大专</v>
      </c>
      <c r="H174" s="7" t="str">
        <f>"海南儋州"</f>
        <v>海南儋州</v>
      </c>
      <c r="I174" s="7"/>
    </row>
    <row r="175" spans="1:9" ht="30.75" customHeight="1">
      <c r="A175" s="6">
        <v>173</v>
      </c>
      <c r="B175" s="7" t="str">
        <f>"252220200802205335556"</f>
        <v>252220200802205335556</v>
      </c>
      <c r="C175" s="7" t="s">
        <v>32</v>
      </c>
      <c r="D175" s="7" t="str">
        <f>"郑欢"</f>
        <v>郑欢</v>
      </c>
      <c r="E175" s="7" t="str">
        <f>"护理学"</f>
        <v>护理学</v>
      </c>
      <c r="F175" s="7" t="str">
        <f t="shared" si="24"/>
        <v>2020.06</v>
      </c>
      <c r="G175" s="7" t="str">
        <f>"大专"</f>
        <v>大专</v>
      </c>
      <c r="H175" s="7" t="str">
        <f>"海南儋州"</f>
        <v>海南儋州</v>
      </c>
      <c r="I175" s="7"/>
    </row>
    <row r="176" spans="1:9" ht="30.75" customHeight="1">
      <c r="A176" s="6">
        <v>174</v>
      </c>
      <c r="B176" s="7" t="str">
        <f>"252220200802211829567"</f>
        <v>252220200802211829567</v>
      </c>
      <c r="C176" s="7" t="s">
        <v>32</v>
      </c>
      <c r="D176" s="7" t="str">
        <f>"陈军桃"</f>
        <v>陈军桃</v>
      </c>
      <c r="E176" s="7" t="str">
        <f aca="true" t="shared" si="25" ref="E176:E181">"护理"</f>
        <v>护理</v>
      </c>
      <c r="F176" s="7" t="str">
        <f>"2020年6月"</f>
        <v>2020年6月</v>
      </c>
      <c r="G176" s="7" t="str">
        <f>"中专"</f>
        <v>中专</v>
      </c>
      <c r="H176" s="7" t="str">
        <f aca="true" t="shared" si="26" ref="H176:H179">"海南省儋州市"</f>
        <v>海南省儋州市</v>
      </c>
      <c r="I176" s="7"/>
    </row>
    <row r="177" spans="1:9" ht="30.75" customHeight="1">
      <c r="A177" s="6">
        <v>175</v>
      </c>
      <c r="B177" s="7" t="str">
        <f>"252220200802212542570"</f>
        <v>252220200802212542570</v>
      </c>
      <c r="C177" s="7" t="s">
        <v>32</v>
      </c>
      <c r="D177" s="7" t="str">
        <f>"陈德丽"</f>
        <v>陈德丽</v>
      </c>
      <c r="E177" s="7" t="str">
        <f t="shared" si="25"/>
        <v>护理</v>
      </c>
      <c r="F177" s="7" t="str">
        <f>"2020.6"</f>
        <v>2020.6</v>
      </c>
      <c r="G177" s="7" t="str">
        <f>"中专"</f>
        <v>中专</v>
      </c>
      <c r="H177" s="7" t="str">
        <f t="shared" si="26"/>
        <v>海南省儋州市</v>
      </c>
      <c r="I177" s="7"/>
    </row>
    <row r="178" spans="1:9" ht="30.75" customHeight="1">
      <c r="A178" s="6">
        <v>176</v>
      </c>
      <c r="B178" s="7" t="str">
        <f>"252220200802222307591"</f>
        <v>252220200802222307591</v>
      </c>
      <c r="C178" s="7" t="s">
        <v>32</v>
      </c>
      <c r="D178" s="7" t="str">
        <f>"徐秀美"</f>
        <v>徐秀美</v>
      </c>
      <c r="E178" s="7" t="str">
        <f t="shared" si="25"/>
        <v>护理</v>
      </c>
      <c r="F178" s="7" t="str">
        <f>"2020.6"</f>
        <v>2020.6</v>
      </c>
      <c r="G178" s="7" t="str">
        <f>"中专"</f>
        <v>中专</v>
      </c>
      <c r="H178" s="7" t="str">
        <f>"海南儋州"</f>
        <v>海南儋州</v>
      </c>
      <c r="I178" s="7"/>
    </row>
    <row r="179" spans="1:9" ht="30.75" customHeight="1">
      <c r="A179" s="6">
        <v>177</v>
      </c>
      <c r="B179" s="7" t="str">
        <f>"252220200802231245604"</f>
        <v>252220200802231245604</v>
      </c>
      <c r="C179" s="7" t="s">
        <v>32</v>
      </c>
      <c r="D179" s="7" t="str">
        <f>"蔡莲益"</f>
        <v>蔡莲益</v>
      </c>
      <c r="E179" s="7" t="str">
        <f t="shared" si="25"/>
        <v>护理</v>
      </c>
      <c r="F179" s="7" t="str">
        <f>"2020-05"</f>
        <v>2020-05</v>
      </c>
      <c r="G179" s="7" t="str">
        <f>"大专"</f>
        <v>大专</v>
      </c>
      <c r="H179" s="7" t="str">
        <f t="shared" si="26"/>
        <v>海南省儋州市</v>
      </c>
      <c r="I179" s="7"/>
    </row>
    <row r="180" spans="1:9" ht="30.75" customHeight="1">
      <c r="A180" s="6">
        <v>178</v>
      </c>
      <c r="B180" s="7" t="str">
        <f>"252220200802231722606"</f>
        <v>252220200802231722606</v>
      </c>
      <c r="C180" s="7" t="s">
        <v>32</v>
      </c>
      <c r="D180" s="7" t="str">
        <f>"梁姨梅"</f>
        <v>梁姨梅</v>
      </c>
      <c r="E180" s="7" t="str">
        <f t="shared" si="25"/>
        <v>护理</v>
      </c>
      <c r="F180" s="7" t="str">
        <f>"2020年6月"</f>
        <v>2020年6月</v>
      </c>
      <c r="G180" s="7" t="str">
        <f>"中专"</f>
        <v>中专</v>
      </c>
      <c r="H180" s="7" t="str">
        <f>"海南儋州"</f>
        <v>海南儋州</v>
      </c>
      <c r="I180" s="7"/>
    </row>
    <row r="181" spans="1:9" ht="30.75" customHeight="1">
      <c r="A181" s="6">
        <v>179</v>
      </c>
      <c r="B181" s="7" t="str">
        <f>"252220200803022921627"</f>
        <v>252220200803022921627</v>
      </c>
      <c r="C181" s="7" t="s">
        <v>32</v>
      </c>
      <c r="D181" s="7" t="str">
        <f>"曾春丹"</f>
        <v>曾春丹</v>
      </c>
      <c r="E181" s="7" t="str">
        <f t="shared" si="25"/>
        <v>护理</v>
      </c>
      <c r="F181" s="7" t="str">
        <f>"2020年6月30号"</f>
        <v>2020年6月30号</v>
      </c>
      <c r="G181" s="7" t="str">
        <f>"中专"</f>
        <v>中专</v>
      </c>
      <c r="H181" s="7" t="str">
        <f>"海南省儋州市"</f>
        <v>海南省儋州市</v>
      </c>
      <c r="I181" s="7"/>
    </row>
    <row r="182" spans="1:9" ht="30.75" customHeight="1">
      <c r="A182" s="6">
        <v>180</v>
      </c>
      <c r="B182" s="7" t="str">
        <f>"252220200803083435642"</f>
        <v>252220200803083435642</v>
      </c>
      <c r="C182" s="7" t="s">
        <v>32</v>
      </c>
      <c r="D182" s="7" t="str">
        <f>"陈慧萍"</f>
        <v>陈慧萍</v>
      </c>
      <c r="E182" s="7" t="str">
        <f>"护理学"</f>
        <v>护理学</v>
      </c>
      <c r="F182" s="7" t="str">
        <f>"2020.06"</f>
        <v>2020.06</v>
      </c>
      <c r="G182" s="7" t="str">
        <f>"中专"</f>
        <v>中专</v>
      </c>
      <c r="H182" s="7" t="str">
        <f>"海南儋州"</f>
        <v>海南儋州</v>
      </c>
      <c r="I182" s="7"/>
    </row>
    <row r="183" spans="1:9" ht="30.75" customHeight="1">
      <c r="A183" s="6">
        <v>181</v>
      </c>
      <c r="B183" s="7" t="str">
        <f>"252220200803084217647"</f>
        <v>252220200803084217647</v>
      </c>
      <c r="C183" s="7" t="s">
        <v>32</v>
      </c>
      <c r="D183" s="7" t="str">
        <f>"王玉英"</f>
        <v>王玉英</v>
      </c>
      <c r="E183" s="7" t="str">
        <f aca="true" t="shared" si="27" ref="E183:E194">"护理"</f>
        <v>护理</v>
      </c>
      <c r="F183" s="7" t="str">
        <f>"2020.06"</f>
        <v>2020.06</v>
      </c>
      <c r="G183" s="7" t="str">
        <f>"中专"</f>
        <v>中专</v>
      </c>
      <c r="H183" s="7" t="str">
        <f>"海南省儋州市"</f>
        <v>海南省儋州市</v>
      </c>
      <c r="I183" s="7"/>
    </row>
    <row r="184" spans="1:9" ht="30.75" customHeight="1">
      <c r="A184" s="6">
        <v>182</v>
      </c>
      <c r="B184" s="7" t="str">
        <f>"252220200803090435665"</f>
        <v>252220200803090435665</v>
      </c>
      <c r="C184" s="7" t="s">
        <v>32</v>
      </c>
      <c r="D184" s="7" t="str">
        <f>"陈海萍"</f>
        <v>陈海萍</v>
      </c>
      <c r="E184" s="7" t="str">
        <f t="shared" si="27"/>
        <v>护理</v>
      </c>
      <c r="F184" s="7" t="str">
        <f>"2020.6.30"</f>
        <v>2020.6.30</v>
      </c>
      <c r="G184" s="7" t="str">
        <f>"中专"</f>
        <v>中专</v>
      </c>
      <c r="H184" s="7" t="str">
        <f>"海南省儋州市光村镇"</f>
        <v>海南省儋州市光村镇</v>
      </c>
      <c r="I184" s="7"/>
    </row>
    <row r="185" spans="1:9" ht="30.75" customHeight="1">
      <c r="A185" s="6">
        <v>183</v>
      </c>
      <c r="B185" s="7" t="str">
        <f>"252220200803091359669"</f>
        <v>252220200803091359669</v>
      </c>
      <c r="C185" s="7" t="s">
        <v>32</v>
      </c>
      <c r="D185" s="7" t="str">
        <f>"薛玉保"</f>
        <v>薛玉保</v>
      </c>
      <c r="E185" s="7" t="str">
        <f t="shared" si="27"/>
        <v>护理</v>
      </c>
      <c r="F185" s="7" t="str">
        <f>"2020.6"</f>
        <v>2020.6</v>
      </c>
      <c r="G185" s="7" t="str">
        <f>"大专"</f>
        <v>大专</v>
      </c>
      <c r="H185" s="7" t="str">
        <f>"海南省儋州市"</f>
        <v>海南省儋州市</v>
      </c>
      <c r="I185" s="7"/>
    </row>
    <row r="186" spans="1:9" ht="30.75" customHeight="1">
      <c r="A186" s="6">
        <v>184</v>
      </c>
      <c r="B186" s="7" t="str">
        <f>"252220200803091650673"</f>
        <v>252220200803091650673</v>
      </c>
      <c r="C186" s="7" t="s">
        <v>32</v>
      </c>
      <c r="D186" s="7" t="str">
        <f>"岑莹莹"</f>
        <v>岑莹莹</v>
      </c>
      <c r="E186" s="7" t="str">
        <f t="shared" si="27"/>
        <v>护理</v>
      </c>
      <c r="F186" s="7" t="str">
        <f>"2020.06"</f>
        <v>2020.06</v>
      </c>
      <c r="G186" s="7" t="str">
        <f>"中专"</f>
        <v>中专</v>
      </c>
      <c r="H186" s="7" t="str">
        <f>"海南省儋州市"</f>
        <v>海南省儋州市</v>
      </c>
      <c r="I186" s="7"/>
    </row>
    <row r="187" spans="1:9" ht="30.75" customHeight="1">
      <c r="A187" s="6">
        <v>185</v>
      </c>
      <c r="B187" s="7" t="str">
        <f>"252220200803091854675"</f>
        <v>252220200803091854675</v>
      </c>
      <c r="C187" s="7" t="s">
        <v>32</v>
      </c>
      <c r="D187" s="7" t="str">
        <f>"杨彩丽"</f>
        <v>杨彩丽</v>
      </c>
      <c r="E187" s="7" t="str">
        <f t="shared" si="27"/>
        <v>护理</v>
      </c>
      <c r="F187" s="7" t="str">
        <f>"2020.06"</f>
        <v>2020.06</v>
      </c>
      <c r="G187" s="7" t="str">
        <f>"中专"</f>
        <v>中专</v>
      </c>
      <c r="H187" s="7" t="str">
        <f>"海南省儋州市光村镇"</f>
        <v>海南省儋州市光村镇</v>
      </c>
      <c r="I187" s="7"/>
    </row>
    <row r="188" spans="1:9" ht="30.75" customHeight="1">
      <c r="A188" s="6">
        <v>186</v>
      </c>
      <c r="B188" s="7" t="str">
        <f>"252220200803101400714"</f>
        <v>252220200803101400714</v>
      </c>
      <c r="C188" s="7" t="s">
        <v>32</v>
      </c>
      <c r="D188" s="7" t="str">
        <f>"陈带柳"</f>
        <v>陈带柳</v>
      </c>
      <c r="E188" s="7" t="str">
        <f t="shared" si="27"/>
        <v>护理</v>
      </c>
      <c r="F188" s="7" t="str">
        <f>"2020年6月16日"</f>
        <v>2020年6月16日</v>
      </c>
      <c r="G188" s="7" t="str">
        <f>"大专"</f>
        <v>大专</v>
      </c>
      <c r="H188" s="7" t="str">
        <f>"海南省儋州市王五镇"</f>
        <v>海南省儋州市王五镇</v>
      </c>
      <c r="I188" s="7"/>
    </row>
    <row r="189" spans="1:9" ht="30.75" customHeight="1">
      <c r="A189" s="6">
        <v>187</v>
      </c>
      <c r="B189" s="7" t="str">
        <f>"252220200803104217741"</f>
        <v>252220200803104217741</v>
      </c>
      <c r="C189" s="7" t="s">
        <v>32</v>
      </c>
      <c r="D189" s="7" t="str">
        <f>"麦文娟"</f>
        <v>麦文娟</v>
      </c>
      <c r="E189" s="7" t="str">
        <f t="shared" si="27"/>
        <v>护理</v>
      </c>
      <c r="F189" s="7" t="str">
        <f>"2020.07"</f>
        <v>2020.07</v>
      </c>
      <c r="G189" s="7" t="str">
        <f>"中专"</f>
        <v>中专</v>
      </c>
      <c r="H189" s="7" t="str">
        <f>"海南儋州"</f>
        <v>海南儋州</v>
      </c>
      <c r="I189" s="7"/>
    </row>
    <row r="190" spans="1:9" ht="30.75" customHeight="1">
      <c r="A190" s="6">
        <v>188</v>
      </c>
      <c r="B190" s="7" t="str">
        <f>"252220200803113253773"</f>
        <v>252220200803113253773</v>
      </c>
      <c r="C190" s="7" t="s">
        <v>32</v>
      </c>
      <c r="D190" s="7" t="str">
        <f>"吴桂香"</f>
        <v>吴桂香</v>
      </c>
      <c r="E190" s="7" t="str">
        <f t="shared" si="27"/>
        <v>护理</v>
      </c>
      <c r="F190" s="7" t="str">
        <f>"2020.06.28"</f>
        <v>2020.06.28</v>
      </c>
      <c r="G190" s="7" t="str">
        <f>"大专"</f>
        <v>大专</v>
      </c>
      <c r="H190" s="7" t="str">
        <f>"海南省儋州市"</f>
        <v>海南省儋州市</v>
      </c>
      <c r="I190" s="7"/>
    </row>
    <row r="191" spans="1:9" ht="30.75" customHeight="1">
      <c r="A191" s="6">
        <v>189</v>
      </c>
      <c r="B191" s="7" t="str">
        <f>"252220200803113700776"</f>
        <v>252220200803113700776</v>
      </c>
      <c r="C191" s="7" t="s">
        <v>32</v>
      </c>
      <c r="D191" s="7" t="str">
        <f>"陈秋敏"</f>
        <v>陈秋敏</v>
      </c>
      <c r="E191" s="7" t="str">
        <f t="shared" si="27"/>
        <v>护理</v>
      </c>
      <c r="F191" s="7" t="str">
        <f>"2020.06"</f>
        <v>2020.06</v>
      </c>
      <c r="G191" s="7" t="str">
        <f>"中专"</f>
        <v>中专</v>
      </c>
      <c r="H191" s="7" t="str">
        <f>"海南儋州"</f>
        <v>海南儋州</v>
      </c>
      <c r="I191" s="7"/>
    </row>
    <row r="192" spans="1:9" ht="30.75" customHeight="1">
      <c r="A192" s="6">
        <v>190</v>
      </c>
      <c r="B192" s="7" t="str">
        <f>"252220200803132026823"</f>
        <v>252220200803132026823</v>
      </c>
      <c r="C192" s="7" t="s">
        <v>32</v>
      </c>
      <c r="D192" s="7" t="str">
        <f>"羊贵妃"</f>
        <v>羊贵妃</v>
      </c>
      <c r="E192" s="7" t="str">
        <f t="shared" si="27"/>
        <v>护理</v>
      </c>
      <c r="F192" s="7" t="str">
        <f>"2020.06"</f>
        <v>2020.06</v>
      </c>
      <c r="G192" s="7" t="str">
        <f>"大专"</f>
        <v>大专</v>
      </c>
      <c r="H192" s="7" t="str">
        <f>"海南儋州"</f>
        <v>海南儋州</v>
      </c>
      <c r="I192" s="7"/>
    </row>
    <row r="193" spans="1:9" ht="30.75" customHeight="1">
      <c r="A193" s="6">
        <v>191</v>
      </c>
      <c r="B193" s="6" t="str">
        <f>"252220200803145741852"</f>
        <v>252220200803145741852</v>
      </c>
      <c r="C193" s="6" t="s">
        <v>32</v>
      </c>
      <c r="D193" s="6" t="str">
        <f>"羊翠香"</f>
        <v>羊翠香</v>
      </c>
      <c r="E193" s="6" t="str">
        <f t="shared" si="27"/>
        <v>护理</v>
      </c>
      <c r="F193" s="6" t="str">
        <f>"2020.06"</f>
        <v>2020.06</v>
      </c>
      <c r="G193" s="6" t="str">
        <f>"大专"</f>
        <v>大专</v>
      </c>
      <c r="H193" s="6" t="str">
        <f aca="true" t="shared" si="28" ref="H193:H198">"海南省儋州市"</f>
        <v>海南省儋州市</v>
      </c>
      <c r="I193" s="6"/>
    </row>
    <row r="194" spans="1:9" ht="30.75" customHeight="1">
      <c r="A194" s="6">
        <v>192</v>
      </c>
      <c r="B194" s="7" t="str">
        <f>"252220200803150257856"</f>
        <v>252220200803150257856</v>
      </c>
      <c r="C194" s="7" t="s">
        <v>32</v>
      </c>
      <c r="D194" s="7" t="str">
        <f>"沈芝月"</f>
        <v>沈芝月</v>
      </c>
      <c r="E194" s="7" t="str">
        <f t="shared" si="27"/>
        <v>护理</v>
      </c>
      <c r="F194" s="7" t="str">
        <f>"2020年6月16日"</f>
        <v>2020年6月16日</v>
      </c>
      <c r="G194" s="7" t="str">
        <f>"大专"</f>
        <v>大专</v>
      </c>
      <c r="H194" s="7" t="str">
        <f>"海南儋州"</f>
        <v>海南儋州</v>
      </c>
      <c r="I194" s="7"/>
    </row>
    <row r="195" spans="1:9" ht="30.75" customHeight="1">
      <c r="A195" s="6">
        <v>193</v>
      </c>
      <c r="B195" s="7" t="str">
        <f>"252220200803161055892"</f>
        <v>252220200803161055892</v>
      </c>
      <c r="C195" s="7" t="s">
        <v>32</v>
      </c>
      <c r="D195" s="7" t="str">
        <f>"朱定娟"</f>
        <v>朱定娟</v>
      </c>
      <c r="E195" s="7" t="str">
        <f>"护理学"</f>
        <v>护理学</v>
      </c>
      <c r="F195" s="7" t="str">
        <f>"2020.7"</f>
        <v>2020.7</v>
      </c>
      <c r="G195" s="7" t="str">
        <f>"本科"</f>
        <v>本科</v>
      </c>
      <c r="H195" s="7" t="str">
        <f>"海南儋州"</f>
        <v>海南儋州</v>
      </c>
      <c r="I195" s="7"/>
    </row>
    <row r="196" spans="1:9" ht="30.75" customHeight="1">
      <c r="A196" s="6">
        <v>194</v>
      </c>
      <c r="B196" s="7" t="str">
        <f>"252220200803171850938"</f>
        <v>252220200803171850938</v>
      </c>
      <c r="C196" s="7" t="s">
        <v>32</v>
      </c>
      <c r="D196" s="7" t="str">
        <f>"薛秀婧"</f>
        <v>薛秀婧</v>
      </c>
      <c r="E196" s="7" t="str">
        <f>"护理"</f>
        <v>护理</v>
      </c>
      <c r="F196" s="7" t="str">
        <f>"2020年7月7日"</f>
        <v>2020年7月7日</v>
      </c>
      <c r="G196" s="7" t="str">
        <f>"大专"</f>
        <v>大专</v>
      </c>
      <c r="H196" s="7" t="str">
        <f>"海南儋州"</f>
        <v>海南儋州</v>
      </c>
      <c r="I196" s="7"/>
    </row>
    <row r="197" spans="1:9" ht="30.75" customHeight="1">
      <c r="A197" s="6">
        <v>195</v>
      </c>
      <c r="B197" s="7" t="str">
        <f>"252220200803180805958"</f>
        <v>252220200803180805958</v>
      </c>
      <c r="C197" s="7" t="s">
        <v>32</v>
      </c>
      <c r="D197" s="7" t="str">
        <f>"李双"</f>
        <v>李双</v>
      </c>
      <c r="E197" s="7" t="str">
        <f>"护理学"</f>
        <v>护理学</v>
      </c>
      <c r="F197" s="7" t="str">
        <f>"2020年7月10日"</f>
        <v>2020年7月10日</v>
      </c>
      <c r="G197" s="7" t="str">
        <f>"大专"</f>
        <v>大专</v>
      </c>
      <c r="H197" s="7" t="str">
        <f t="shared" si="28"/>
        <v>海南省儋州市</v>
      </c>
      <c r="I197" s="7"/>
    </row>
    <row r="198" spans="1:9" ht="30.75" customHeight="1">
      <c r="A198" s="6">
        <v>196</v>
      </c>
      <c r="B198" s="7" t="str">
        <f>"252220200803183933966"</f>
        <v>252220200803183933966</v>
      </c>
      <c r="C198" s="7" t="s">
        <v>32</v>
      </c>
      <c r="D198" s="7" t="str">
        <f>"张玲芝"</f>
        <v>张玲芝</v>
      </c>
      <c r="E198" s="7" t="str">
        <f>"助产"</f>
        <v>助产</v>
      </c>
      <c r="F198" s="7" t="str">
        <f>"2020.06"</f>
        <v>2020.06</v>
      </c>
      <c r="G198" s="7" t="str">
        <f>"大专"</f>
        <v>大专</v>
      </c>
      <c r="H198" s="7" t="str">
        <f t="shared" si="28"/>
        <v>海南省儋州市</v>
      </c>
      <c r="I198" s="7"/>
    </row>
    <row r="199" spans="1:9" ht="30.75" customHeight="1">
      <c r="A199" s="6">
        <v>197</v>
      </c>
      <c r="B199" s="7" t="str">
        <f>"2522202008032149121039"</f>
        <v>2522202008032149121039</v>
      </c>
      <c r="C199" s="7" t="s">
        <v>32</v>
      </c>
      <c r="D199" s="7" t="str">
        <f>"郑胜芸"</f>
        <v>郑胜芸</v>
      </c>
      <c r="E199" s="7" t="str">
        <f>"护理"</f>
        <v>护理</v>
      </c>
      <c r="F199" s="7" t="str">
        <f>"2020.7"</f>
        <v>2020.7</v>
      </c>
      <c r="G199" s="7" t="str">
        <f>"大专"</f>
        <v>大专</v>
      </c>
      <c r="H199" s="7" t="str">
        <f aca="true" t="shared" si="29" ref="H199:H203">"海南省儋州市"</f>
        <v>海南省儋州市</v>
      </c>
      <c r="I199" s="7"/>
    </row>
    <row r="200" spans="1:9" ht="30.75" customHeight="1">
      <c r="A200" s="6">
        <v>198</v>
      </c>
      <c r="B200" s="7" t="str">
        <f>"2522202008032222421049"</f>
        <v>2522202008032222421049</v>
      </c>
      <c r="C200" s="7" t="s">
        <v>32</v>
      </c>
      <c r="D200" s="7" t="str">
        <f>"陈丽娟"</f>
        <v>陈丽娟</v>
      </c>
      <c r="E200" s="7" t="str">
        <f>"护理学"</f>
        <v>护理学</v>
      </c>
      <c r="F200" s="7" t="str">
        <f>"2020.06"</f>
        <v>2020.06</v>
      </c>
      <c r="G200" s="7" t="str">
        <f>"本科"</f>
        <v>本科</v>
      </c>
      <c r="H200" s="7" t="str">
        <f>"海南省儋州市中和镇"</f>
        <v>海南省儋州市中和镇</v>
      </c>
      <c r="I200" s="7"/>
    </row>
    <row r="201" spans="1:9" ht="30.75" customHeight="1">
      <c r="A201" s="6">
        <v>199</v>
      </c>
      <c r="B201" s="7" t="str">
        <f>"2522202008040910571090"</f>
        <v>2522202008040910571090</v>
      </c>
      <c r="C201" s="7" t="s">
        <v>32</v>
      </c>
      <c r="D201" s="7" t="str">
        <f>"符开杰"</f>
        <v>符开杰</v>
      </c>
      <c r="E201" s="7" t="str">
        <f>"护理"</f>
        <v>护理</v>
      </c>
      <c r="F201" s="7" t="str">
        <f>"2020.07"</f>
        <v>2020.07</v>
      </c>
      <c r="G201" s="7" t="str">
        <f>"中专"</f>
        <v>中专</v>
      </c>
      <c r="H201" s="7" t="str">
        <f>"海南儋州"</f>
        <v>海南儋州</v>
      </c>
      <c r="I201" s="7"/>
    </row>
    <row r="202" spans="1:9" ht="30.75" customHeight="1">
      <c r="A202" s="6">
        <v>200</v>
      </c>
      <c r="B202" s="7" t="str">
        <f>"2522202008041112301137"</f>
        <v>2522202008041112301137</v>
      </c>
      <c r="C202" s="7" t="s">
        <v>32</v>
      </c>
      <c r="D202" s="7" t="str">
        <f>"文江惠"</f>
        <v>文江惠</v>
      </c>
      <c r="E202" s="7" t="str">
        <f>"护理"</f>
        <v>护理</v>
      </c>
      <c r="F202" s="7" t="str">
        <f>"2020年6月"</f>
        <v>2020年6月</v>
      </c>
      <c r="G202" s="7" t="str">
        <f>"本科"</f>
        <v>本科</v>
      </c>
      <c r="H202" s="7" t="str">
        <f t="shared" si="29"/>
        <v>海南省儋州市</v>
      </c>
      <c r="I202" s="7"/>
    </row>
    <row r="203" spans="1:9" ht="30.75" customHeight="1">
      <c r="A203" s="6">
        <v>201</v>
      </c>
      <c r="B203" s="7" t="str">
        <f>"2522202008041239141177"</f>
        <v>2522202008041239141177</v>
      </c>
      <c r="C203" s="7" t="s">
        <v>32</v>
      </c>
      <c r="D203" s="7" t="str">
        <f>"林彦彤"</f>
        <v>林彦彤</v>
      </c>
      <c r="E203" s="7" t="str">
        <f>"护理学"</f>
        <v>护理学</v>
      </c>
      <c r="F203" s="7" t="str">
        <f>"2020年6月"</f>
        <v>2020年6月</v>
      </c>
      <c r="G203" s="7" t="str">
        <f>"本科"</f>
        <v>本科</v>
      </c>
      <c r="H203" s="7" t="str">
        <f t="shared" si="29"/>
        <v>海南省儋州市</v>
      </c>
      <c r="I203" s="7"/>
    </row>
    <row r="204" spans="1:9" ht="30.75" customHeight="1">
      <c r="A204" s="6">
        <v>202</v>
      </c>
      <c r="B204" s="7" t="str">
        <f>"2522202008041500451202"</f>
        <v>2522202008041500451202</v>
      </c>
      <c r="C204" s="7" t="s">
        <v>32</v>
      </c>
      <c r="D204" s="7" t="str">
        <f>"何凤仪"</f>
        <v>何凤仪</v>
      </c>
      <c r="E204" s="7" t="str">
        <f>"护理专业"</f>
        <v>护理专业</v>
      </c>
      <c r="F204" s="7" t="str">
        <f>"2020.06"</f>
        <v>2020.06</v>
      </c>
      <c r="G204" s="7" t="str">
        <f>"中专"</f>
        <v>中专</v>
      </c>
      <c r="H204" s="7" t="str">
        <f>"海南儋州"</f>
        <v>海南儋州</v>
      </c>
      <c r="I204" s="7"/>
    </row>
    <row r="205" spans="1:9" ht="30.75" customHeight="1">
      <c r="A205" s="6">
        <v>203</v>
      </c>
      <c r="B205" s="7" t="str">
        <f>"2522202008041509121209"</f>
        <v>2522202008041509121209</v>
      </c>
      <c r="C205" s="7" t="s">
        <v>32</v>
      </c>
      <c r="D205" s="7" t="str">
        <f>"陈婷"</f>
        <v>陈婷</v>
      </c>
      <c r="E205" s="7" t="str">
        <f>"护理"</f>
        <v>护理</v>
      </c>
      <c r="F205" s="7" t="str">
        <f>"2020.06"</f>
        <v>2020.06</v>
      </c>
      <c r="G205" s="7" t="str">
        <f>"大专"</f>
        <v>大专</v>
      </c>
      <c r="H205" s="7" t="str">
        <f>"海南儋州"</f>
        <v>海南儋州</v>
      </c>
      <c r="I205" s="7"/>
    </row>
    <row r="206" spans="1:9" ht="30.75" customHeight="1">
      <c r="A206" s="6">
        <v>204</v>
      </c>
      <c r="B206" s="7" t="str">
        <f>"2522202008041744051266"</f>
        <v>2522202008041744051266</v>
      </c>
      <c r="C206" s="7" t="s">
        <v>32</v>
      </c>
      <c r="D206" s="7" t="str">
        <f>"刘丽娜"</f>
        <v>刘丽娜</v>
      </c>
      <c r="E206" s="7" t="str">
        <f>"护理学"</f>
        <v>护理学</v>
      </c>
      <c r="F206" s="7" t="str">
        <f>"2020.06"</f>
        <v>2020.06</v>
      </c>
      <c r="G206" s="7" t="str">
        <f>"中专"</f>
        <v>中专</v>
      </c>
      <c r="H206" s="7" t="str">
        <f aca="true" t="shared" si="30" ref="H206:H208">"海南省儋州市"</f>
        <v>海南省儋州市</v>
      </c>
      <c r="I206" s="7"/>
    </row>
    <row r="207" spans="1:9" ht="30.75" customHeight="1">
      <c r="A207" s="6">
        <v>205</v>
      </c>
      <c r="B207" s="7" t="str">
        <f>"2522202008041842261283"</f>
        <v>2522202008041842261283</v>
      </c>
      <c r="C207" s="7" t="s">
        <v>32</v>
      </c>
      <c r="D207" s="7" t="str">
        <f>"何彩焕"</f>
        <v>何彩焕</v>
      </c>
      <c r="E207" s="7" t="str">
        <f aca="true" t="shared" si="31" ref="E207:E212">"护理"</f>
        <v>护理</v>
      </c>
      <c r="F207" s="7" t="str">
        <f>"2020.07"</f>
        <v>2020.07</v>
      </c>
      <c r="G207" s="7" t="str">
        <f>"大专"</f>
        <v>大专</v>
      </c>
      <c r="H207" s="7" t="str">
        <f t="shared" si="30"/>
        <v>海南省儋州市</v>
      </c>
      <c r="I207" s="7"/>
    </row>
    <row r="208" spans="1:9" ht="30.75" customHeight="1">
      <c r="A208" s="6">
        <v>206</v>
      </c>
      <c r="B208" s="7" t="str">
        <f>"2522202008041859321288"</f>
        <v>2522202008041859321288</v>
      </c>
      <c r="C208" s="7" t="s">
        <v>32</v>
      </c>
      <c r="D208" s="7" t="str">
        <f>"李美莲"</f>
        <v>李美莲</v>
      </c>
      <c r="E208" s="7" t="str">
        <f t="shared" si="31"/>
        <v>护理</v>
      </c>
      <c r="F208" s="7" t="str">
        <f>"2020年7月"</f>
        <v>2020年7月</v>
      </c>
      <c r="G208" s="7" t="str">
        <f>"大专"</f>
        <v>大专</v>
      </c>
      <c r="H208" s="7" t="str">
        <f t="shared" si="30"/>
        <v>海南省儋州市</v>
      </c>
      <c r="I208" s="7"/>
    </row>
    <row r="209" spans="1:9" ht="30.75" customHeight="1">
      <c r="A209" s="6">
        <v>207</v>
      </c>
      <c r="B209" s="7" t="str">
        <f>"2522202008041945151300"</f>
        <v>2522202008041945151300</v>
      </c>
      <c r="C209" s="7" t="s">
        <v>32</v>
      </c>
      <c r="D209" s="7" t="str">
        <f>"朱善军"</f>
        <v>朱善军</v>
      </c>
      <c r="E209" s="7" t="str">
        <f t="shared" si="31"/>
        <v>护理</v>
      </c>
      <c r="F209" s="7" t="str">
        <f>"2020.06.16"</f>
        <v>2020.06.16</v>
      </c>
      <c r="G209" s="7" t="str">
        <f>"大专"</f>
        <v>大专</v>
      </c>
      <c r="H209" s="7" t="str">
        <f>"海南省儋州市新州镇"</f>
        <v>海南省儋州市新州镇</v>
      </c>
      <c r="I209" s="7"/>
    </row>
    <row r="210" spans="1:9" ht="30.75" customHeight="1">
      <c r="A210" s="6">
        <v>208</v>
      </c>
      <c r="B210" s="7" t="str">
        <f>"2522202008042311381363"</f>
        <v>2522202008042311381363</v>
      </c>
      <c r="C210" s="7" t="s">
        <v>32</v>
      </c>
      <c r="D210" s="7" t="str">
        <f>"符秀英"</f>
        <v>符秀英</v>
      </c>
      <c r="E210" s="7" t="str">
        <f t="shared" si="31"/>
        <v>护理</v>
      </c>
      <c r="F210" s="7" t="str">
        <f>"2020.6."</f>
        <v>2020.6.</v>
      </c>
      <c r="G210" s="7" t="str">
        <f>"中专"</f>
        <v>中专</v>
      </c>
      <c r="H210" s="7" t="str">
        <f aca="true" t="shared" si="32" ref="H210:H215">"海南省儋州市"</f>
        <v>海南省儋州市</v>
      </c>
      <c r="I210" s="7"/>
    </row>
    <row r="211" spans="1:9" ht="30.75" customHeight="1">
      <c r="A211" s="6">
        <v>209</v>
      </c>
      <c r="B211" s="7" t="str">
        <f>"2522202008051208461438"</f>
        <v>2522202008051208461438</v>
      </c>
      <c r="C211" s="7" t="s">
        <v>32</v>
      </c>
      <c r="D211" s="7" t="str">
        <f>"赵建每"</f>
        <v>赵建每</v>
      </c>
      <c r="E211" s="7" t="str">
        <f t="shared" si="31"/>
        <v>护理</v>
      </c>
      <c r="F211" s="7" t="str">
        <f>"2020.06.25"</f>
        <v>2020.06.25</v>
      </c>
      <c r="G211" s="7" t="str">
        <f>"大专"</f>
        <v>大专</v>
      </c>
      <c r="H211" s="7" t="str">
        <f t="shared" si="32"/>
        <v>海南省儋州市</v>
      </c>
      <c r="I211" s="7"/>
    </row>
    <row r="212" spans="1:9" ht="30.75" customHeight="1">
      <c r="A212" s="6">
        <v>210</v>
      </c>
      <c r="B212" s="7" t="str">
        <f>"2522202008051224461444"</f>
        <v>2522202008051224461444</v>
      </c>
      <c r="C212" s="7" t="s">
        <v>32</v>
      </c>
      <c r="D212" s="7" t="str">
        <f>"赵冠蓉"</f>
        <v>赵冠蓉</v>
      </c>
      <c r="E212" s="7" t="str">
        <f t="shared" si="31"/>
        <v>护理</v>
      </c>
      <c r="F212" s="7" t="str">
        <f>"2020.06.01"</f>
        <v>2020.06.01</v>
      </c>
      <c r="G212" s="7" t="str">
        <f>"大专"</f>
        <v>大专</v>
      </c>
      <c r="H212" s="7" t="str">
        <f>"海南省儋州市新州镇"</f>
        <v>海南省儋州市新州镇</v>
      </c>
      <c r="I212" s="7"/>
    </row>
    <row r="213" spans="1:9" ht="30.75" customHeight="1">
      <c r="A213" s="6">
        <v>211</v>
      </c>
      <c r="B213" s="7" t="str">
        <f>"2522202008051648191501"</f>
        <v>2522202008051648191501</v>
      </c>
      <c r="C213" s="7" t="s">
        <v>32</v>
      </c>
      <c r="D213" s="7" t="str">
        <f>"林彩玲"</f>
        <v>林彩玲</v>
      </c>
      <c r="E213" s="7" t="str">
        <f>"助产"</f>
        <v>助产</v>
      </c>
      <c r="F213" s="7" t="str">
        <f>"2020.06"</f>
        <v>2020.06</v>
      </c>
      <c r="G213" s="7" t="str">
        <f>"大专"</f>
        <v>大专</v>
      </c>
      <c r="H213" s="7" t="str">
        <f t="shared" si="32"/>
        <v>海南省儋州市</v>
      </c>
      <c r="I213" s="7"/>
    </row>
    <row r="214" spans="1:9" ht="30.75" customHeight="1">
      <c r="A214" s="6">
        <v>212</v>
      </c>
      <c r="B214" s="7" t="str">
        <f>"2522202008051904161543"</f>
        <v>2522202008051904161543</v>
      </c>
      <c r="C214" s="7" t="s">
        <v>32</v>
      </c>
      <c r="D214" s="7" t="str">
        <f>"陈国顺"</f>
        <v>陈国顺</v>
      </c>
      <c r="E214" s="7" t="str">
        <f>"护理"</f>
        <v>护理</v>
      </c>
      <c r="F214" s="7" t="str">
        <f>"2020.06"</f>
        <v>2020.06</v>
      </c>
      <c r="G214" s="7" t="str">
        <f>"大专"</f>
        <v>大专</v>
      </c>
      <c r="H214" s="7" t="str">
        <f t="shared" si="32"/>
        <v>海南省儋州市</v>
      </c>
      <c r="I214" s="7"/>
    </row>
    <row r="215" spans="1:9" ht="30.75" customHeight="1">
      <c r="A215" s="6">
        <v>213</v>
      </c>
      <c r="B215" s="7" t="str">
        <f>"2522202008051958421555"</f>
        <v>2522202008051958421555</v>
      </c>
      <c r="C215" s="7" t="s">
        <v>32</v>
      </c>
      <c r="D215" s="7" t="str">
        <f>"刘翠竹"</f>
        <v>刘翠竹</v>
      </c>
      <c r="E215" s="7" t="str">
        <f>"护理学"</f>
        <v>护理学</v>
      </c>
      <c r="F215" s="7" t="str">
        <f>"2020.06"</f>
        <v>2020.06</v>
      </c>
      <c r="G215" s="7" t="str">
        <f>"本科"</f>
        <v>本科</v>
      </c>
      <c r="H215" s="7" t="str">
        <f t="shared" si="32"/>
        <v>海南省儋州市</v>
      </c>
      <c r="I215" s="7"/>
    </row>
    <row r="216" spans="1:9" ht="30.75" customHeight="1">
      <c r="A216" s="6">
        <v>214</v>
      </c>
      <c r="B216" s="7" t="str">
        <f>"2522202008052117531578"</f>
        <v>2522202008052117531578</v>
      </c>
      <c r="C216" s="7" t="s">
        <v>32</v>
      </c>
      <c r="D216" s="7" t="str">
        <f>"梁寿香"</f>
        <v>梁寿香</v>
      </c>
      <c r="E216" s="7" t="str">
        <f>"护理学"</f>
        <v>护理学</v>
      </c>
      <c r="F216" s="7" t="str">
        <f>"2020年7月"</f>
        <v>2020年7月</v>
      </c>
      <c r="G216" s="7" t="str">
        <f>"本科"</f>
        <v>本科</v>
      </c>
      <c r="H216" s="7" t="str">
        <f>"海南儋州木棠镇"</f>
        <v>海南儋州木棠镇</v>
      </c>
      <c r="I216" s="7"/>
    </row>
    <row r="217" spans="1:9" ht="30.75" customHeight="1">
      <c r="A217" s="6">
        <v>215</v>
      </c>
      <c r="B217" s="7" t="str">
        <f>"2522202008061156561695"</f>
        <v>2522202008061156561695</v>
      </c>
      <c r="C217" s="7" t="s">
        <v>32</v>
      </c>
      <c r="D217" s="7" t="str">
        <f>"郭登玲"</f>
        <v>郭登玲</v>
      </c>
      <c r="E217" s="7" t="str">
        <f>"护理"</f>
        <v>护理</v>
      </c>
      <c r="F217" s="7" t="str">
        <f>"2020.07"</f>
        <v>2020.07</v>
      </c>
      <c r="G217" s="7" t="str">
        <f>"大专"</f>
        <v>大专</v>
      </c>
      <c r="H217" s="7" t="str">
        <f>"海南儋州"</f>
        <v>海南儋州</v>
      </c>
      <c r="I217" s="7"/>
    </row>
    <row r="218" spans="1:9" ht="30.75" customHeight="1">
      <c r="A218" s="6">
        <v>216</v>
      </c>
      <c r="B218" s="7" t="str">
        <f>"2522202008061526301743"</f>
        <v>2522202008061526301743</v>
      </c>
      <c r="C218" s="7" t="s">
        <v>32</v>
      </c>
      <c r="D218" s="7" t="str">
        <f>"李吉婷"</f>
        <v>李吉婷</v>
      </c>
      <c r="E218" s="7" t="str">
        <f>"护理学"</f>
        <v>护理学</v>
      </c>
      <c r="F218" s="7" t="str">
        <f>"2020.06"</f>
        <v>2020.06</v>
      </c>
      <c r="G218" s="7" t="str">
        <f>"中专"</f>
        <v>中专</v>
      </c>
      <c r="H218" s="7" t="str">
        <f>"海南儋州"</f>
        <v>海南儋州</v>
      </c>
      <c r="I218" s="7"/>
    </row>
    <row r="219" spans="1:9" ht="30.75" customHeight="1">
      <c r="A219" s="6">
        <v>217</v>
      </c>
      <c r="B219" s="7" t="str">
        <f>"2522202008061647581782"</f>
        <v>2522202008061647581782</v>
      </c>
      <c r="C219" s="7" t="s">
        <v>32</v>
      </c>
      <c r="D219" s="7" t="str">
        <f>"黄丽婉"</f>
        <v>黄丽婉</v>
      </c>
      <c r="E219" s="7" t="str">
        <f>"护理"</f>
        <v>护理</v>
      </c>
      <c r="F219" s="7" t="str">
        <f>"2020年6月"</f>
        <v>2020年6月</v>
      </c>
      <c r="G219" s="7" t="str">
        <f>"中专"</f>
        <v>中专</v>
      </c>
      <c r="H219" s="7" t="str">
        <f>"儋州"</f>
        <v>儋州</v>
      </c>
      <c r="I219" s="7"/>
    </row>
    <row r="220" spans="1:9" ht="30.75" customHeight="1">
      <c r="A220" s="6">
        <v>218</v>
      </c>
      <c r="B220" s="7" t="str">
        <f>"2522202008071443341834"</f>
        <v>2522202008071443341834</v>
      </c>
      <c r="C220" s="7" t="s">
        <v>32</v>
      </c>
      <c r="D220" s="7" t="str">
        <f>"朱向婧"</f>
        <v>朱向婧</v>
      </c>
      <c r="E220" s="7" t="str">
        <f>"护理专业"</f>
        <v>护理专业</v>
      </c>
      <c r="F220" s="7" t="str">
        <f>"2020.7"</f>
        <v>2020.7</v>
      </c>
      <c r="G220" s="7" t="str">
        <f>"大专"</f>
        <v>大专</v>
      </c>
      <c r="H220" s="7" t="str">
        <f>"海南儋州"</f>
        <v>海南儋州</v>
      </c>
      <c r="I220" s="7"/>
    </row>
    <row r="221" spans="1:9" ht="30.75" customHeight="1">
      <c r="A221" s="6">
        <v>219</v>
      </c>
      <c r="B221" s="7" t="str">
        <f>"2522202008072141571863"</f>
        <v>2522202008072141571863</v>
      </c>
      <c r="C221" s="7" t="s">
        <v>32</v>
      </c>
      <c r="D221" s="7" t="str">
        <f>"陈太坤"</f>
        <v>陈太坤</v>
      </c>
      <c r="E221" s="7" t="str">
        <f aca="true" t="shared" si="33" ref="E221:E226">"护理"</f>
        <v>护理</v>
      </c>
      <c r="F221" s="7" t="str">
        <f>"2020.07"</f>
        <v>2020.07</v>
      </c>
      <c r="G221" s="7" t="str">
        <f>"大专"</f>
        <v>大专</v>
      </c>
      <c r="H221" s="7" t="str">
        <f>"海南儋州"</f>
        <v>海南儋州</v>
      </c>
      <c r="I221" s="7"/>
    </row>
    <row r="222" spans="1:9" ht="30.75" customHeight="1">
      <c r="A222" s="6">
        <v>220</v>
      </c>
      <c r="B222" s="7" t="str">
        <f>"2522202008080013541868"</f>
        <v>2522202008080013541868</v>
      </c>
      <c r="C222" s="7" t="s">
        <v>32</v>
      </c>
      <c r="D222" s="7" t="str">
        <f>"林秀芳"</f>
        <v>林秀芳</v>
      </c>
      <c r="E222" s="7" t="str">
        <f t="shared" si="33"/>
        <v>护理</v>
      </c>
      <c r="F222" s="7" t="str">
        <f>"2019.06"</f>
        <v>2019.06</v>
      </c>
      <c r="G222" s="7" t="str">
        <f>"大专"</f>
        <v>大专</v>
      </c>
      <c r="H222" s="7" t="str">
        <f>"海南儋州"</f>
        <v>海南儋州</v>
      </c>
      <c r="I222" s="7"/>
    </row>
    <row r="223" spans="1:9" ht="30.75" customHeight="1">
      <c r="A223" s="6">
        <v>221</v>
      </c>
      <c r="B223" s="7" t="str">
        <f>"2522202008020805515"</f>
        <v>2522202008020805515</v>
      </c>
      <c r="C223" s="7" t="s">
        <v>33</v>
      </c>
      <c r="D223" s="7" t="str">
        <f>"周菲"</f>
        <v>周菲</v>
      </c>
      <c r="E223" s="7" t="str">
        <f t="shared" si="33"/>
        <v>护理</v>
      </c>
      <c r="F223" s="7" t="str">
        <f>"2020年6月30日"</f>
        <v>2020年6月30日</v>
      </c>
      <c r="G223" s="7" t="str">
        <f>"中专"</f>
        <v>中专</v>
      </c>
      <c r="H223" s="7" t="str">
        <f>"海南省儋州市"</f>
        <v>海南省儋州市</v>
      </c>
      <c r="I223" s="7"/>
    </row>
    <row r="224" spans="1:9" ht="30.75" customHeight="1">
      <c r="A224" s="6">
        <v>222</v>
      </c>
      <c r="B224" s="7" t="str">
        <f>"25222020080208121211"</f>
        <v>25222020080208121211</v>
      </c>
      <c r="C224" s="7" t="s">
        <v>33</v>
      </c>
      <c r="D224" s="7" t="str">
        <f>"李梦罴"</f>
        <v>李梦罴</v>
      </c>
      <c r="E224" s="7" t="str">
        <f t="shared" si="33"/>
        <v>护理</v>
      </c>
      <c r="F224" s="7" t="str">
        <f>"2020.06"</f>
        <v>2020.06</v>
      </c>
      <c r="G224" s="7" t="str">
        <f>"中专"</f>
        <v>中专</v>
      </c>
      <c r="H224" s="7" t="str">
        <f>"海南儋州"</f>
        <v>海南儋州</v>
      </c>
      <c r="I224" s="7"/>
    </row>
    <row r="225" spans="1:9" ht="30.75" customHeight="1">
      <c r="A225" s="6">
        <v>223</v>
      </c>
      <c r="B225" s="7" t="str">
        <f>"25222020080208140314"</f>
        <v>25222020080208140314</v>
      </c>
      <c r="C225" s="7" t="s">
        <v>33</v>
      </c>
      <c r="D225" s="7" t="str">
        <f>"吴明艳"</f>
        <v>吴明艳</v>
      </c>
      <c r="E225" s="7" t="str">
        <f t="shared" si="33"/>
        <v>护理</v>
      </c>
      <c r="F225" s="7" t="str">
        <f>"2020.06"</f>
        <v>2020.06</v>
      </c>
      <c r="G225" s="7" t="str">
        <f>"大专"</f>
        <v>大专</v>
      </c>
      <c r="H225" s="7" t="str">
        <f>"海南省儋州市王五镇"</f>
        <v>海南省儋州市王五镇</v>
      </c>
      <c r="I225" s="7"/>
    </row>
    <row r="226" spans="1:9" ht="30.75" customHeight="1">
      <c r="A226" s="6">
        <v>224</v>
      </c>
      <c r="B226" s="7" t="str">
        <f>"25222020080208460548"</f>
        <v>25222020080208460548</v>
      </c>
      <c r="C226" s="7" t="s">
        <v>33</v>
      </c>
      <c r="D226" s="7" t="str">
        <f>"张白丽"</f>
        <v>张白丽</v>
      </c>
      <c r="E226" s="7" t="str">
        <f t="shared" si="33"/>
        <v>护理</v>
      </c>
      <c r="F226" s="7" t="str">
        <f>"2020.06"</f>
        <v>2020.06</v>
      </c>
      <c r="G226" s="7" t="str">
        <f>"大专"</f>
        <v>大专</v>
      </c>
      <c r="H226" s="7" t="str">
        <f>"海南儋州"</f>
        <v>海南儋州</v>
      </c>
      <c r="I226" s="7"/>
    </row>
    <row r="227" spans="1:9" ht="30.75" customHeight="1">
      <c r="A227" s="6">
        <v>225</v>
      </c>
      <c r="B227" s="7" t="str">
        <f>"25222020080208550761"</f>
        <v>25222020080208550761</v>
      </c>
      <c r="C227" s="7" t="s">
        <v>33</v>
      </c>
      <c r="D227" s="7" t="str">
        <f>"符琼香"</f>
        <v>符琼香</v>
      </c>
      <c r="E227" s="7" t="str">
        <f>"护理学"</f>
        <v>护理学</v>
      </c>
      <c r="F227" s="7" t="str">
        <f>"2020.06"</f>
        <v>2020.06</v>
      </c>
      <c r="G227" s="7" t="str">
        <f>"大专"</f>
        <v>大专</v>
      </c>
      <c r="H227" s="7" t="str">
        <f>"海南儋州"</f>
        <v>海南儋州</v>
      </c>
      <c r="I227" s="7"/>
    </row>
    <row r="228" spans="1:9" ht="30.75" customHeight="1">
      <c r="A228" s="6">
        <v>226</v>
      </c>
      <c r="B228" s="7" t="str">
        <f>"25222020080208552662"</f>
        <v>25222020080208552662</v>
      </c>
      <c r="C228" s="7" t="s">
        <v>33</v>
      </c>
      <c r="D228" s="7" t="str">
        <f>"符绿萍"</f>
        <v>符绿萍</v>
      </c>
      <c r="E228" s="7" t="str">
        <f aca="true" t="shared" si="34" ref="E228:E238">"护理"</f>
        <v>护理</v>
      </c>
      <c r="F228" s="7" t="str">
        <f>"2020.07"</f>
        <v>2020.07</v>
      </c>
      <c r="G228" s="7" t="str">
        <f>"大专"</f>
        <v>大专</v>
      </c>
      <c r="H228" s="7" t="str">
        <f>"海南省儋州市"</f>
        <v>海南省儋州市</v>
      </c>
      <c r="I228" s="7"/>
    </row>
    <row r="229" spans="1:9" ht="30.75" customHeight="1">
      <c r="A229" s="6">
        <v>227</v>
      </c>
      <c r="B229" s="7" t="str">
        <f>"25222020080209085771"</f>
        <v>25222020080209085771</v>
      </c>
      <c r="C229" s="7" t="s">
        <v>33</v>
      </c>
      <c r="D229" s="7" t="str">
        <f>"麦梦环"</f>
        <v>麦梦环</v>
      </c>
      <c r="E229" s="7" t="str">
        <f t="shared" si="34"/>
        <v>护理</v>
      </c>
      <c r="F229" s="7" t="str">
        <f>"2020.06"</f>
        <v>2020.06</v>
      </c>
      <c r="G229" s="7" t="str">
        <f>"中专"</f>
        <v>中专</v>
      </c>
      <c r="H229" s="7" t="str">
        <f aca="true" t="shared" si="35" ref="H229:H234">"海南省儋州市"</f>
        <v>海南省儋州市</v>
      </c>
      <c r="I229" s="7"/>
    </row>
    <row r="230" spans="1:9" ht="30.75" customHeight="1">
      <c r="A230" s="6">
        <v>228</v>
      </c>
      <c r="B230" s="7" t="str">
        <f>"25222020080209144878"</f>
        <v>25222020080209144878</v>
      </c>
      <c r="C230" s="7" t="s">
        <v>33</v>
      </c>
      <c r="D230" s="7" t="str">
        <f>"李兰妃"</f>
        <v>李兰妃</v>
      </c>
      <c r="E230" s="7" t="str">
        <f t="shared" si="34"/>
        <v>护理</v>
      </c>
      <c r="F230" s="7" t="str">
        <f>"2020-07-01"</f>
        <v>2020-07-01</v>
      </c>
      <c r="G230" s="7" t="str">
        <f>"大专"</f>
        <v>大专</v>
      </c>
      <c r="H230" s="7" t="str">
        <f t="shared" si="35"/>
        <v>海南省儋州市</v>
      </c>
      <c r="I230" s="7"/>
    </row>
    <row r="231" spans="1:9" ht="30.75" customHeight="1">
      <c r="A231" s="6">
        <v>229</v>
      </c>
      <c r="B231" s="7" t="str">
        <f>"252220200802094316109"</f>
        <v>252220200802094316109</v>
      </c>
      <c r="C231" s="7" t="s">
        <v>33</v>
      </c>
      <c r="D231" s="7" t="str">
        <f>"李国芝"</f>
        <v>李国芝</v>
      </c>
      <c r="E231" s="7" t="str">
        <f t="shared" si="34"/>
        <v>护理</v>
      </c>
      <c r="F231" s="7" t="str">
        <f>"2020.6.30"</f>
        <v>2020.6.30</v>
      </c>
      <c r="G231" s="7" t="str">
        <f>"中专"</f>
        <v>中专</v>
      </c>
      <c r="H231" s="7" t="str">
        <f>"海南儋州"</f>
        <v>海南儋州</v>
      </c>
      <c r="I231" s="7"/>
    </row>
    <row r="232" spans="1:9" ht="30.75" customHeight="1">
      <c r="A232" s="6">
        <v>230</v>
      </c>
      <c r="B232" s="7" t="str">
        <f>"252220200802100045126"</f>
        <v>252220200802100045126</v>
      </c>
      <c r="C232" s="7" t="s">
        <v>33</v>
      </c>
      <c r="D232" s="7" t="str">
        <f>"张土带"</f>
        <v>张土带</v>
      </c>
      <c r="E232" s="7" t="str">
        <f t="shared" si="34"/>
        <v>护理</v>
      </c>
      <c r="F232" s="7" t="str">
        <f>"2020.06"</f>
        <v>2020.06</v>
      </c>
      <c r="G232" s="7" t="str">
        <f>"大专"</f>
        <v>大专</v>
      </c>
      <c r="H232" s="7" t="str">
        <f>"儋州"</f>
        <v>儋州</v>
      </c>
      <c r="I232" s="7"/>
    </row>
    <row r="233" spans="1:9" ht="30.75" customHeight="1">
      <c r="A233" s="6">
        <v>231</v>
      </c>
      <c r="B233" s="7" t="str">
        <f>"252220200802102602156"</f>
        <v>252220200802102602156</v>
      </c>
      <c r="C233" s="7" t="s">
        <v>33</v>
      </c>
      <c r="D233" s="7" t="str">
        <f>"吴雪姣"</f>
        <v>吴雪姣</v>
      </c>
      <c r="E233" s="7" t="str">
        <f t="shared" si="34"/>
        <v>护理</v>
      </c>
      <c r="F233" s="7" t="str">
        <f>"2020年6月"</f>
        <v>2020年6月</v>
      </c>
      <c r="G233" s="7" t="str">
        <f>"中专"</f>
        <v>中专</v>
      </c>
      <c r="H233" s="7" t="str">
        <f>"海南儋州"</f>
        <v>海南儋州</v>
      </c>
      <c r="I233" s="7"/>
    </row>
    <row r="234" spans="1:9" ht="30.75" customHeight="1">
      <c r="A234" s="6">
        <v>232</v>
      </c>
      <c r="B234" s="7" t="str">
        <f>"252220200802104152167"</f>
        <v>252220200802104152167</v>
      </c>
      <c r="C234" s="7" t="s">
        <v>33</v>
      </c>
      <c r="D234" s="7" t="str">
        <f>"林允平"</f>
        <v>林允平</v>
      </c>
      <c r="E234" s="7" t="str">
        <f t="shared" si="34"/>
        <v>护理</v>
      </c>
      <c r="F234" s="7" t="str">
        <f>"2020.06"</f>
        <v>2020.06</v>
      </c>
      <c r="G234" s="7" t="str">
        <f>"中专"</f>
        <v>中专</v>
      </c>
      <c r="H234" s="7" t="str">
        <f t="shared" si="35"/>
        <v>海南省儋州市</v>
      </c>
      <c r="I234" s="7"/>
    </row>
    <row r="235" spans="1:9" ht="30.75" customHeight="1">
      <c r="A235" s="6">
        <v>233</v>
      </c>
      <c r="B235" s="7" t="str">
        <f>"252220200802105805182"</f>
        <v>252220200802105805182</v>
      </c>
      <c r="C235" s="7" t="s">
        <v>33</v>
      </c>
      <c r="D235" s="7" t="str">
        <f>"谢雅琴"</f>
        <v>谢雅琴</v>
      </c>
      <c r="E235" s="7" t="str">
        <f t="shared" si="34"/>
        <v>护理</v>
      </c>
      <c r="F235" s="7" t="str">
        <f>"2020.06"</f>
        <v>2020.06</v>
      </c>
      <c r="G235" s="7" t="str">
        <f>"中专"</f>
        <v>中专</v>
      </c>
      <c r="H235" s="7" t="str">
        <f>"海南儋州"</f>
        <v>海南儋州</v>
      </c>
      <c r="I235" s="7"/>
    </row>
    <row r="236" spans="1:9" ht="30.75" customHeight="1">
      <c r="A236" s="6">
        <v>234</v>
      </c>
      <c r="B236" s="7" t="str">
        <f>"252220200802111430212"</f>
        <v>252220200802111430212</v>
      </c>
      <c r="C236" s="7" t="s">
        <v>33</v>
      </c>
      <c r="D236" s="7" t="str">
        <f>"万吉玲"</f>
        <v>万吉玲</v>
      </c>
      <c r="E236" s="7" t="str">
        <f t="shared" si="34"/>
        <v>护理</v>
      </c>
      <c r="F236" s="7" t="str">
        <f>"2020.6"</f>
        <v>2020.6</v>
      </c>
      <c r="G236" s="7" t="str">
        <f>"大专"</f>
        <v>大专</v>
      </c>
      <c r="H236" s="7" t="str">
        <f>"海南儋州"</f>
        <v>海南儋州</v>
      </c>
      <c r="I236" s="7"/>
    </row>
    <row r="237" spans="1:9" ht="30.75" customHeight="1">
      <c r="A237" s="6">
        <v>235</v>
      </c>
      <c r="B237" s="7" t="str">
        <f>"252220200802111606214"</f>
        <v>252220200802111606214</v>
      </c>
      <c r="C237" s="7" t="s">
        <v>33</v>
      </c>
      <c r="D237" s="7" t="str">
        <f>"何益秋"</f>
        <v>何益秋</v>
      </c>
      <c r="E237" s="7" t="str">
        <f t="shared" si="34"/>
        <v>护理</v>
      </c>
      <c r="F237" s="7" t="str">
        <f>"2019.06"</f>
        <v>2019.06</v>
      </c>
      <c r="G237" s="7" t="str">
        <f>"中专"</f>
        <v>中专</v>
      </c>
      <c r="H237" s="7" t="str">
        <f>"海南儋州"</f>
        <v>海南儋州</v>
      </c>
      <c r="I237" s="7"/>
    </row>
    <row r="238" spans="1:9" ht="30.75" customHeight="1">
      <c r="A238" s="6">
        <v>236</v>
      </c>
      <c r="B238" s="7" t="str">
        <f>"252220200802114906252"</f>
        <v>252220200802114906252</v>
      </c>
      <c r="C238" s="7" t="s">
        <v>33</v>
      </c>
      <c r="D238" s="7" t="str">
        <f>"王仙桃"</f>
        <v>王仙桃</v>
      </c>
      <c r="E238" s="7" t="str">
        <f t="shared" si="34"/>
        <v>护理</v>
      </c>
      <c r="F238" s="7" t="str">
        <f>"2020.6"</f>
        <v>2020.6</v>
      </c>
      <c r="G238" s="7" t="str">
        <f>"中专"</f>
        <v>中专</v>
      </c>
      <c r="H238" s="7" t="str">
        <f>"海南儋州"</f>
        <v>海南儋州</v>
      </c>
      <c r="I238" s="7"/>
    </row>
    <row r="239" spans="1:9" ht="30.75" customHeight="1">
      <c r="A239" s="6">
        <v>237</v>
      </c>
      <c r="B239" s="7" t="str">
        <f>"252220200802125436310"</f>
        <v>252220200802125436310</v>
      </c>
      <c r="C239" s="7" t="s">
        <v>33</v>
      </c>
      <c r="D239" s="7" t="str">
        <f>"刘翠玉"</f>
        <v>刘翠玉</v>
      </c>
      <c r="E239" s="7" t="str">
        <f>"护理学"</f>
        <v>护理学</v>
      </c>
      <c r="F239" s="7" t="str">
        <f>"2020.06"</f>
        <v>2020.06</v>
      </c>
      <c r="G239" s="7" t="str">
        <f>"本科"</f>
        <v>本科</v>
      </c>
      <c r="H239" s="7" t="str">
        <f>"海南儋州"</f>
        <v>海南儋州</v>
      </c>
      <c r="I239" s="7"/>
    </row>
    <row r="240" spans="1:9" ht="30.75" customHeight="1">
      <c r="A240" s="6">
        <v>238</v>
      </c>
      <c r="B240" s="7" t="str">
        <f>"252220200802134237339"</f>
        <v>252220200802134237339</v>
      </c>
      <c r="C240" s="7" t="s">
        <v>33</v>
      </c>
      <c r="D240" s="7" t="str">
        <f>"罗玲娜"</f>
        <v>罗玲娜</v>
      </c>
      <c r="E240" s="7" t="str">
        <f aca="true" t="shared" si="36" ref="E240:E248">"护理"</f>
        <v>护理</v>
      </c>
      <c r="F240" s="7" t="str">
        <f>"2020.06"</f>
        <v>2020.06</v>
      </c>
      <c r="G240" s="7" t="str">
        <f>"中专"</f>
        <v>中专</v>
      </c>
      <c r="H240" s="7" t="str">
        <f>"海南省儋州市"</f>
        <v>海南省儋州市</v>
      </c>
      <c r="I240" s="7"/>
    </row>
    <row r="241" spans="1:9" ht="30.75" customHeight="1">
      <c r="A241" s="6">
        <v>239</v>
      </c>
      <c r="B241" s="7" t="str">
        <f>"252220200802144126366"</f>
        <v>252220200802144126366</v>
      </c>
      <c r="C241" s="7" t="s">
        <v>33</v>
      </c>
      <c r="D241" s="7" t="str">
        <f>"唐梅丽"</f>
        <v>唐梅丽</v>
      </c>
      <c r="E241" s="7" t="str">
        <f t="shared" si="36"/>
        <v>护理</v>
      </c>
      <c r="F241" s="7" t="str">
        <f>"2020.07"</f>
        <v>2020.07</v>
      </c>
      <c r="G241" s="7" t="str">
        <f>"中专"</f>
        <v>中专</v>
      </c>
      <c r="H241" s="7" t="str">
        <f>"海南省儋州市"</f>
        <v>海南省儋州市</v>
      </c>
      <c r="I241" s="7"/>
    </row>
    <row r="242" spans="1:9" ht="30.75" customHeight="1">
      <c r="A242" s="6">
        <v>240</v>
      </c>
      <c r="B242" s="7" t="str">
        <f>"252220200802151333377"</f>
        <v>252220200802151333377</v>
      </c>
      <c r="C242" s="7" t="s">
        <v>33</v>
      </c>
      <c r="D242" s="7" t="str">
        <f>"李彩女"</f>
        <v>李彩女</v>
      </c>
      <c r="E242" s="7" t="str">
        <f t="shared" si="36"/>
        <v>护理</v>
      </c>
      <c r="F242" s="7" t="str">
        <f>"2020.06"</f>
        <v>2020.06</v>
      </c>
      <c r="G242" s="7" t="str">
        <f>"中专"</f>
        <v>中专</v>
      </c>
      <c r="H242" s="7" t="str">
        <f>"海南儋州"</f>
        <v>海南儋州</v>
      </c>
      <c r="I242" s="7"/>
    </row>
    <row r="243" spans="1:9" ht="30.75" customHeight="1">
      <c r="A243" s="6">
        <v>241</v>
      </c>
      <c r="B243" s="7" t="str">
        <f>"252220200802151448378"</f>
        <v>252220200802151448378</v>
      </c>
      <c r="C243" s="7" t="s">
        <v>33</v>
      </c>
      <c r="D243" s="7" t="str">
        <f>"符雪玲"</f>
        <v>符雪玲</v>
      </c>
      <c r="E243" s="7" t="str">
        <f t="shared" si="36"/>
        <v>护理</v>
      </c>
      <c r="F243" s="7" t="str">
        <f>"2020.06"</f>
        <v>2020.06</v>
      </c>
      <c r="G243" s="7" t="str">
        <f>"大专"</f>
        <v>大专</v>
      </c>
      <c r="H243" s="7" t="str">
        <f>"海南儋州"</f>
        <v>海南儋州</v>
      </c>
      <c r="I243" s="7"/>
    </row>
    <row r="244" spans="1:9" ht="30.75" customHeight="1">
      <c r="A244" s="6">
        <v>242</v>
      </c>
      <c r="B244" s="7" t="str">
        <f>"252220200802153117386"</f>
        <v>252220200802153117386</v>
      </c>
      <c r="C244" s="7" t="s">
        <v>33</v>
      </c>
      <c r="D244" s="7" t="str">
        <f>"钟明雄"</f>
        <v>钟明雄</v>
      </c>
      <c r="E244" s="7" t="str">
        <f t="shared" si="36"/>
        <v>护理</v>
      </c>
      <c r="F244" s="7" t="str">
        <f>"2020.6"</f>
        <v>2020.6</v>
      </c>
      <c r="G244" s="7" t="str">
        <f>"中专"</f>
        <v>中专</v>
      </c>
      <c r="H244" s="7" t="str">
        <f>"海南省儋州市海头镇"</f>
        <v>海南省儋州市海头镇</v>
      </c>
      <c r="I244" s="7"/>
    </row>
    <row r="245" spans="1:9" ht="30.75" customHeight="1">
      <c r="A245" s="6">
        <v>243</v>
      </c>
      <c r="B245" s="7" t="str">
        <f>"252220200802153729391"</f>
        <v>252220200802153729391</v>
      </c>
      <c r="C245" s="7" t="s">
        <v>33</v>
      </c>
      <c r="D245" s="7" t="str">
        <f>"邓养女"</f>
        <v>邓养女</v>
      </c>
      <c r="E245" s="7" t="str">
        <f t="shared" si="36"/>
        <v>护理</v>
      </c>
      <c r="F245" s="7" t="str">
        <f>"2020.06.25"</f>
        <v>2020.06.25</v>
      </c>
      <c r="G245" s="7" t="str">
        <f>"大专"</f>
        <v>大专</v>
      </c>
      <c r="H245" s="7" t="str">
        <f>"海南儋州"</f>
        <v>海南儋州</v>
      </c>
      <c r="I245" s="7"/>
    </row>
    <row r="246" spans="1:9" ht="30.75" customHeight="1">
      <c r="A246" s="6">
        <v>244</v>
      </c>
      <c r="B246" s="7" t="str">
        <f>"252220200802155329404"</f>
        <v>252220200802155329404</v>
      </c>
      <c r="C246" s="7" t="s">
        <v>33</v>
      </c>
      <c r="D246" s="7" t="str">
        <f>"符启璃"</f>
        <v>符启璃</v>
      </c>
      <c r="E246" s="7" t="str">
        <f t="shared" si="36"/>
        <v>护理</v>
      </c>
      <c r="F246" s="7" t="str">
        <f>"2020.06"</f>
        <v>2020.06</v>
      </c>
      <c r="G246" s="7" t="str">
        <f>"大专"</f>
        <v>大专</v>
      </c>
      <c r="H246" s="7" t="str">
        <f>"海南儋州"</f>
        <v>海南儋州</v>
      </c>
      <c r="I246" s="7"/>
    </row>
    <row r="247" spans="1:9" ht="30.75" customHeight="1">
      <c r="A247" s="6">
        <v>245</v>
      </c>
      <c r="B247" s="7" t="str">
        <f>"252220200802155637406"</f>
        <v>252220200802155637406</v>
      </c>
      <c r="C247" s="7" t="s">
        <v>33</v>
      </c>
      <c r="D247" s="7" t="str">
        <f>"张月爱"</f>
        <v>张月爱</v>
      </c>
      <c r="E247" s="7" t="str">
        <f t="shared" si="36"/>
        <v>护理</v>
      </c>
      <c r="F247" s="7" t="str">
        <f>"2020.07"</f>
        <v>2020.07</v>
      </c>
      <c r="G247" s="7" t="str">
        <f>"大专"</f>
        <v>大专</v>
      </c>
      <c r="H247" s="7" t="str">
        <f>"海南省儋州市木棠镇"</f>
        <v>海南省儋州市木棠镇</v>
      </c>
      <c r="I247" s="7"/>
    </row>
    <row r="248" spans="1:9" ht="30.75" customHeight="1">
      <c r="A248" s="6">
        <v>246</v>
      </c>
      <c r="B248" s="7" t="str">
        <f>"252220200802155835409"</f>
        <v>252220200802155835409</v>
      </c>
      <c r="C248" s="7" t="s">
        <v>33</v>
      </c>
      <c r="D248" s="7" t="str">
        <f>"梁秋园"</f>
        <v>梁秋园</v>
      </c>
      <c r="E248" s="7" t="str">
        <f t="shared" si="36"/>
        <v>护理</v>
      </c>
      <c r="F248" s="7" t="str">
        <f>"2020.06"</f>
        <v>2020.06</v>
      </c>
      <c r="G248" s="7" t="str">
        <f>"中专"</f>
        <v>中专</v>
      </c>
      <c r="H248" s="7" t="str">
        <f>"海南儋州市"</f>
        <v>海南儋州市</v>
      </c>
      <c r="I248" s="7"/>
    </row>
    <row r="249" spans="1:9" ht="30.75" customHeight="1">
      <c r="A249" s="6">
        <v>247</v>
      </c>
      <c r="B249" s="7" t="str">
        <f>"252220200802161357421"</f>
        <v>252220200802161357421</v>
      </c>
      <c r="C249" s="7" t="s">
        <v>33</v>
      </c>
      <c r="D249" s="7" t="str">
        <f>"王美桃"</f>
        <v>王美桃</v>
      </c>
      <c r="E249" s="7" t="str">
        <f>"护理专业"</f>
        <v>护理专业</v>
      </c>
      <c r="F249" s="7" t="str">
        <f>"2020.06"</f>
        <v>2020.06</v>
      </c>
      <c r="G249" s="7" t="str">
        <f>"中专"</f>
        <v>中专</v>
      </c>
      <c r="H249" s="7" t="str">
        <f aca="true" t="shared" si="37" ref="H249:H254">"海南省儋州市"</f>
        <v>海南省儋州市</v>
      </c>
      <c r="I249" s="7"/>
    </row>
    <row r="250" spans="1:9" ht="30.75" customHeight="1">
      <c r="A250" s="6">
        <v>248</v>
      </c>
      <c r="B250" s="7" t="str">
        <f>"252220200802180037478"</f>
        <v>252220200802180037478</v>
      </c>
      <c r="C250" s="7" t="s">
        <v>33</v>
      </c>
      <c r="D250" s="7" t="str">
        <f>"陈德蓥"</f>
        <v>陈德蓥</v>
      </c>
      <c r="E250" s="7" t="str">
        <f>"涉外护理"</f>
        <v>涉外护理</v>
      </c>
      <c r="F250" s="7" t="str">
        <f>"2020.06"</f>
        <v>2020.06</v>
      </c>
      <c r="G250" s="7" t="str">
        <f>"大专"</f>
        <v>大专</v>
      </c>
      <c r="H250" s="7" t="str">
        <f>"海南省那大镇"</f>
        <v>海南省那大镇</v>
      </c>
      <c r="I250" s="7"/>
    </row>
    <row r="251" spans="1:9" ht="30.75" customHeight="1">
      <c r="A251" s="6">
        <v>249</v>
      </c>
      <c r="B251" s="7" t="str">
        <f>"252220200802190511505"</f>
        <v>252220200802190511505</v>
      </c>
      <c r="C251" s="7" t="s">
        <v>33</v>
      </c>
      <c r="D251" s="7" t="str">
        <f>"王石女"</f>
        <v>王石女</v>
      </c>
      <c r="E251" s="7" t="str">
        <f aca="true" t="shared" si="38" ref="E251:E256">"护理"</f>
        <v>护理</v>
      </c>
      <c r="F251" s="7" t="str">
        <f>"2020.06"</f>
        <v>2020.06</v>
      </c>
      <c r="G251" s="7" t="str">
        <f>"大专"</f>
        <v>大专</v>
      </c>
      <c r="H251" s="7" t="str">
        <f t="shared" si="37"/>
        <v>海南省儋州市</v>
      </c>
      <c r="I251" s="7"/>
    </row>
    <row r="252" spans="1:9" ht="30.75" customHeight="1">
      <c r="A252" s="6">
        <v>250</v>
      </c>
      <c r="B252" s="7" t="str">
        <f>"252220200802200342537"</f>
        <v>252220200802200342537</v>
      </c>
      <c r="C252" s="7" t="s">
        <v>33</v>
      </c>
      <c r="D252" s="7" t="str">
        <f>"蔡妹荣"</f>
        <v>蔡妹荣</v>
      </c>
      <c r="E252" s="7" t="str">
        <f t="shared" si="38"/>
        <v>护理</v>
      </c>
      <c r="F252" s="7" t="str">
        <f>"2020、06"</f>
        <v>2020、06</v>
      </c>
      <c r="G252" s="7" t="str">
        <f>"中专"</f>
        <v>中专</v>
      </c>
      <c r="H252" s="7" t="str">
        <f>"海南儋州"</f>
        <v>海南儋州</v>
      </c>
      <c r="I252" s="7"/>
    </row>
    <row r="253" spans="1:9" ht="30.75" customHeight="1">
      <c r="A253" s="6">
        <v>251</v>
      </c>
      <c r="B253" s="7" t="str">
        <f>"252220200802200550538"</f>
        <v>252220200802200550538</v>
      </c>
      <c r="C253" s="7" t="s">
        <v>33</v>
      </c>
      <c r="D253" s="7" t="str">
        <f>"符梅绣"</f>
        <v>符梅绣</v>
      </c>
      <c r="E253" s="7" t="str">
        <f t="shared" si="38"/>
        <v>护理</v>
      </c>
      <c r="F253" s="7" t="str">
        <f>"2020.06"</f>
        <v>2020.06</v>
      </c>
      <c r="G253" s="7" t="str">
        <f>"大专"</f>
        <v>大专</v>
      </c>
      <c r="H253" s="7" t="str">
        <f>"海南儋州"</f>
        <v>海南儋州</v>
      </c>
      <c r="I253" s="7"/>
    </row>
    <row r="254" spans="1:9" ht="30.75" customHeight="1">
      <c r="A254" s="6">
        <v>252</v>
      </c>
      <c r="B254" s="7" t="str">
        <f>"252220200802201621542"</f>
        <v>252220200802201621542</v>
      </c>
      <c r="C254" s="7" t="s">
        <v>33</v>
      </c>
      <c r="D254" s="7" t="str">
        <f>"唐萱恒"</f>
        <v>唐萱恒</v>
      </c>
      <c r="E254" s="7" t="str">
        <f t="shared" si="38"/>
        <v>护理</v>
      </c>
      <c r="F254" s="7" t="str">
        <f>"2020.6.31"</f>
        <v>2020.6.31</v>
      </c>
      <c r="G254" s="7" t="str">
        <f>"中专"</f>
        <v>中专</v>
      </c>
      <c r="H254" s="7" t="str">
        <f t="shared" si="37"/>
        <v>海南省儋州市</v>
      </c>
      <c r="I254" s="7"/>
    </row>
    <row r="255" spans="1:9" ht="30.75" customHeight="1">
      <c r="A255" s="6">
        <v>253</v>
      </c>
      <c r="B255" s="7" t="str">
        <f>"252220200802203927550"</f>
        <v>252220200802203927550</v>
      </c>
      <c r="C255" s="7" t="s">
        <v>33</v>
      </c>
      <c r="D255" s="7" t="str">
        <f>"洪彩如"</f>
        <v>洪彩如</v>
      </c>
      <c r="E255" s="7" t="str">
        <f t="shared" si="38"/>
        <v>护理</v>
      </c>
      <c r="F255" s="7" t="str">
        <f>"2020.06.30"</f>
        <v>2020.06.30</v>
      </c>
      <c r="G255" s="7" t="str">
        <f>"大专"</f>
        <v>大专</v>
      </c>
      <c r="H255" s="7" t="str">
        <f aca="true" t="shared" si="39" ref="H255:H258">"海南省儋州市"</f>
        <v>海南省儋州市</v>
      </c>
      <c r="I255" s="7"/>
    </row>
    <row r="256" spans="1:9" ht="30.75" customHeight="1">
      <c r="A256" s="6">
        <v>254</v>
      </c>
      <c r="B256" s="7" t="str">
        <f>"252220200802214255577"</f>
        <v>252220200802214255577</v>
      </c>
      <c r="C256" s="7" t="s">
        <v>33</v>
      </c>
      <c r="D256" s="7" t="str">
        <f>"刘静贤"</f>
        <v>刘静贤</v>
      </c>
      <c r="E256" s="7" t="str">
        <f t="shared" si="38"/>
        <v>护理</v>
      </c>
      <c r="F256" s="7" t="str">
        <f>"2020.7"</f>
        <v>2020.7</v>
      </c>
      <c r="G256" s="7" t="str">
        <f>"中专"</f>
        <v>中专</v>
      </c>
      <c r="H256" s="7" t="str">
        <f t="shared" si="39"/>
        <v>海南省儋州市</v>
      </c>
      <c r="I256" s="7"/>
    </row>
    <row r="257" spans="1:9" ht="30.75" customHeight="1">
      <c r="A257" s="6">
        <v>255</v>
      </c>
      <c r="B257" s="7" t="str">
        <f>"252220200802224155599"</f>
        <v>252220200802224155599</v>
      </c>
      <c r="C257" s="7" t="s">
        <v>33</v>
      </c>
      <c r="D257" s="7" t="str">
        <f>"唐子东"</f>
        <v>唐子东</v>
      </c>
      <c r="E257" s="7" t="str">
        <f>"护理学"</f>
        <v>护理学</v>
      </c>
      <c r="F257" s="7" t="str">
        <f>"2020.07"</f>
        <v>2020.07</v>
      </c>
      <c r="G257" s="7" t="str">
        <f>"大专"</f>
        <v>大专</v>
      </c>
      <c r="H257" s="7" t="str">
        <f t="shared" si="39"/>
        <v>海南省儋州市</v>
      </c>
      <c r="I257" s="7"/>
    </row>
    <row r="258" spans="1:9" ht="30.75" customHeight="1">
      <c r="A258" s="6">
        <v>256</v>
      </c>
      <c r="B258" s="7" t="str">
        <f>"252220200803004143624"</f>
        <v>252220200803004143624</v>
      </c>
      <c r="C258" s="7" t="s">
        <v>33</v>
      </c>
      <c r="D258" s="7" t="str">
        <f>"吴英梅"</f>
        <v>吴英梅</v>
      </c>
      <c r="E258" s="7" t="str">
        <f>"护理"</f>
        <v>护理</v>
      </c>
      <c r="F258" s="7" t="str">
        <f>"2020.07"</f>
        <v>2020.07</v>
      </c>
      <c r="G258" s="7" t="str">
        <f>"大专"</f>
        <v>大专</v>
      </c>
      <c r="H258" s="7" t="str">
        <f t="shared" si="39"/>
        <v>海南省儋州市</v>
      </c>
      <c r="I258" s="7"/>
    </row>
    <row r="259" spans="1:9" ht="30.75" customHeight="1">
      <c r="A259" s="6">
        <v>257</v>
      </c>
      <c r="B259" s="7" t="str">
        <f>"252220200803082252636"</f>
        <v>252220200803082252636</v>
      </c>
      <c r="C259" s="7" t="s">
        <v>33</v>
      </c>
      <c r="D259" s="7" t="str">
        <f>"曾为玲"</f>
        <v>曾为玲</v>
      </c>
      <c r="E259" s="7" t="str">
        <f>"助产"</f>
        <v>助产</v>
      </c>
      <c r="F259" s="7" t="str">
        <f>"2020－06"</f>
        <v>2020－06</v>
      </c>
      <c r="G259" s="7" t="str">
        <f>"中专"</f>
        <v>中专</v>
      </c>
      <c r="H259" s="7" t="str">
        <f>"海南儋州"</f>
        <v>海南儋州</v>
      </c>
      <c r="I259" s="7"/>
    </row>
    <row r="260" spans="1:9" ht="30.75" customHeight="1">
      <c r="A260" s="6">
        <v>258</v>
      </c>
      <c r="B260" s="7" t="str">
        <f>"252220200803083741644"</f>
        <v>252220200803083741644</v>
      </c>
      <c r="C260" s="7" t="s">
        <v>33</v>
      </c>
      <c r="D260" s="7" t="str">
        <f>"林正康"</f>
        <v>林正康</v>
      </c>
      <c r="E260" s="7" t="str">
        <f>"护理"</f>
        <v>护理</v>
      </c>
      <c r="F260" s="7" t="str">
        <f>"2020.07"</f>
        <v>2020.07</v>
      </c>
      <c r="G260" s="7" t="str">
        <f>"中专"</f>
        <v>中专</v>
      </c>
      <c r="H260" s="7" t="str">
        <f>"海南省儋州市"</f>
        <v>海南省儋州市</v>
      </c>
      <c r="I260" s="7"/>
    </row>
    <row r="261" spans="1:9" ht="30.75" customHeight="1">
      <c r="A261" s="6">
        <v>259</v>
      </c>
      <c r="B261" s="7" t="str">
        <f>"252220200803091540670"</f>
        <v>252220200803091540670</v>
      </c>
      <c r="C261" s="7" t="s">
        <v>33</v>
      </c>
      <c r="D261" s="7" t="str">
        <f>"陈金庆"</f>
        <v>陈金庆</v>
      </c>
      <c r="E261" s="7" t="str">
        <f>"护理"</f>
        <v>护理</v>
      </c>
      <c r="F261" s="7" t="str">
        <f>"2020.06"</f>
        <v>2020.06</v>
      </c>
      <c r="G261" s="7" t="str">
        <f>"大专"</f>
        <v>大专</v>
      </c>
      <c r="H261" s="7" t="str">
        <f>"海南省洋浦经济开发区三都区"</f>
        <v>海南省洋浦经济开发区三都区</v>
      </c>
      <c r="I261" s="7" t="s">
        <v>12</v>
      </c>
    </row>
    <row r="262" spans="1:9" ht="30.75" customHeight="1">
      <c r="A262" s="6">
        <v>260</v>
      </c>
      <c r="B262" s="7" t="str">
        <f>"252220200803104843748"</f>
        <v>252220200803104843748</v>
      </c>
      <c r="C262" s="7" t="s">
        <v>33</v>
      </c>
      <c r="D262" s="7" t="str">
        <f>"羊小丽"</f>
        <v>羊小丽</v>
      </c>
      <c r="E262" s="7" t="str">
        <f>"助产士"</f>
        <v>助产士</v>
      </c>
      <c r="F262" s="7" t="str">
        <f>"2020.06"</f>
        <v>2020.06</v>
      </c>
      <c r="G262" s="7" t="str">
        <f>"中专"</f>
        <v>中专</v>
      </c>
      <c r="H262" s="7" t="str">
        <f>"海南儋州市"</f>
        <v>海南儋州市</v>
      </c>
      <c r="I262" s="7"/>
    </row>
    <row r="263" spans="1:9" ht="30.75" customHeight="1">
      <c r="A263" s="6">
        <v>261</v>
      </c>
      <c r="B263" s="7" t="str">
        <f>"252220200803112322769"</f>
        <v>252220200803112322769</v>
      </c>
      <c r="C263" s="7" t="s">
        <v>33</v>
      </c>
      <c r="D263" s="7" t="str">
        <f>"符雨婕"</f>
        <v>符雨婕</v>
      </c>
      <c r="E263" s="7" t="str">
        <f>"护理"</f>
        <v>护理</v>
      </c>
      <c r="F263" s="7" t="str">
        <f>"2020.6.25"</f>
        <v>2020.6.25</v>
      </c>
      <c r="G263" s="7" t="str">
        <f>"大专"</f>
        <v>大专</v>
      </c>
      <c r="H263" s="7" t="str">
        <f>"海南儋州"</f>
        <v>海南儋州</v>
      </c>
      <c r="I263" s="7"/>
    </row>
    <row r="264" spans="1:9" ht="30.75" customHeight="1">
      <c r="A264" s="6">
        <v>262</v>
      </c>
      <c r="B264" s="7" t="str">
        <f>"252220200803150000853"</f>
        <v>252220200803150000853</v>
      </c>
      <c r="C264" s="7" t="s">
        <v>33</v>
      </c>
      <c r="D264" s="7" t="str">
        <f>"谢发玲"</f>
        <v>谢发玲</v>
      </c>
      <c r="E264" s="7" t="str">
        <f>"护理"</f>
        <v>护理</v>
      </c>
      <c r="F264" s="7" t="str">
        <f>"2020.06"</f>
        <v>2020.06</v>
      </c>
      <c r="G264" s="7" t="str">
        <f>"中专"</f>
        <v>中专</v>
      </c>
      <c r="H264" s="7" t="str">
        <f>"海南省儋州市"</f>
        <v>海南省儋州市</v>
      </c>
      <c r="I264" s="7"/>
    </row>
    <row r="265" spans="1:9" ht="30.75" customHeight="1">
      <c r="A265" s="6">
        <v>263</v>
      </c>
      <c r="B265" s="7" t="str">
        <f>"252220200803190609982"</f>
        <v>252220200803190609982</v>
      </c>
      <c r="C265" s="7" t="s">
        <v>33</v>
      </c>
      <c r="D265" s="7" t="str">
        <f>"符光精"</f>
        <v>符光精</v>
      </c>
      <c r="E265" s="7" t="str">
        <f>"护理"</f>
        <v>护理</v>
      </c>
      <c r="F265" s="7" t="str">
        <f>"2020.06"</f>
        <v>2020.06</v>
      </c>
      <c r="G265" s="7" t="str">
        <f>"大专"</f>
        <v>大专</v>
      </c>
      <c r="H265" s="7" t="str">
        <f>"海南儋州"</f>
        <v>海南儋州</v>
      </c>
      <c r="I265" s="7"/>
    </row>
    <row r="266" spans="1:9" ht="30.75" customHeight="1">
      <c r="A266" s="6">
        <v>264</v>
      </c>
      <c r="B266" s="7" t="str">
        <f>"2522202008041040271125"</f>
        <v>2522202008041040271125</v>
      </c>
      <c r="C266" s="7" t="s">
        <v>33</v>
      </c>
      <c r="D266" s="7" t="str">
        <f>"麦淑娥"</f>
        <v>麦淑娥</v>
      </c>
      <c r="E266" s="7" t="str">
        <f>"护理学"</f>
        <v>护理学</v>
      </c>
      <c r="F266" s="7" t="str">
        <f>"2020.07"</f>
        <v>2020.07</v>
      </c>
      <c r="G266" s="7" t="str">
        <f>"本科"</f>
        <v>本科</v>
      </c>
      <c r="H266" s="7" t="str">
        <f>"海南儋州"</f>
        <v>海南儋州</v>
      </c>
      <c r="I266" s="7"/>
    </row>
    <row r="267" spans="1:9" ht="30.75" customHeight="1">
      <c r="A267" s="6">
        <v>265</v>
      </c>
      <c r="B267" s="7" t="str">
        <f>"2522202008041128581146"</f>
        <v>2522202008041128581146</v>
      </c>
      <c r="C267" s="7" t="s">
        <v>33</v>
      </c>
      <c r="D267" s="7" t="str">
        <f>"李美艳"</f>
        <v>李美艳</v>
      </c>
      <c r="E267" s="7" t="str">
        <f>"助产"</f>
        <v>助产</v>
      </c>
      <c r="F267" s="7" t="str">
        <f>"2020.6"</f>
        <v>2020.6</v>
      </c>
      <c r="G267" s="7" t="str">
        <f>"中专"</f>
        <v>中专</v>
      </c>
      <c r="H267" s="7" t="str">
        <f>"海南省儋州市"</f>
        <v>海南省儋州市</v>
      </c>
      <c r="I267" s="7"/>
    </row>
    <row r="268" spans="1:9" ht="30.75" customHeight="1">
      <c r="A268" s="6">
        <v>266</v>
      </c>
      <c r="B268" s="7" t="str">
        <f>"2522202008041233401175"</f>
        <v>2522202008041233401175</v>
      </c>
      <c r="C268" s="7" t="s">
        <v>33</v>
      </c>
      <c r="D268" s="7" t="str">
        <f>"符江娇"</f>
        <v>符江娇</v>
      </c>
      <c r="E268" s="7" t="str">
        <f>"护理"</f>
        <v>护理</v>
      </c>
      <c r="F268" s="7" t="str">
        <f>"2020.06"</f>
        <v>2020.06</v>
      </c>
      <c r="G268" s="7" t="str">
        <f>"大专"</f>
        <v>大专</v>
      </c>
      <c r="H268" s="7" t="str">
        <f>"海南儋州"</f>
        <v>海南儋州</v>
      </c>
      <c r="I268" s="7"/>
    </row>
    <row r="269" spans="1:9" ht="30.75" customHeight="1">
      <c r="A269" s="6">
        <v>267</v>
      </c>
      <c r="B269" s="7" t="str">
        <f>"2522202008041745381267"</f>
        <v>2522202008041745381267</v>
      </c>
      <c r="C269" s="7" t="s">
        <v>33</v>
      </c>
      <c r="D269" s="7" t="str">
        <f>"董海霞"</f>
        <v>董海霞</v>
      </c>
      <c r="E269" s="7" t="str">
        <f>"护理"</f>
        <v>护理</v>
      </c>
      <c r="F269" s="7" t="str">
        <f>"2020.07"</f>
        <v>2020.07</v>
      </c>
      <c r="G269" s="7" t="str">
        <f>"大专"</f>
        <v>大专</v>
      </c>
      <c r="H269" s="7" t="str">
        <f>"海南儋州"</f>
        <v>海南儋州</v>
      </c>
      <c r="I269" s="7"/>
    </row>
    <row r="270" spans="1:9" ht="30.75" customHeight="1">
      <c r="A270" s="6">
        <v>268</v>
      </c>
      <c r="B270" s="7" t="str">
        <f>"2522202008041850411286"</f>
        <v>2522202008041850411286</v>
      </c>
      <c r="C270" s="7" t="s">
        <v>33</v>
      </c>
      <c r="D270" s="7" t="str">
        <f>"苏敏彩"</f>
        <v>苏敏彩</v>
      </c>
      <c r="E270" s="7" t="str">
        <f>"护理"</f>
        <v>护理</v>
      </c>
      <c r="F270" s="7" t="str">
        <f aca="true" t="shared" si="40" ref="F270:F278">"2020.06"</f>
        <v>2020.06</v>
      </c>
      <c r="G270" s="7" t="str">
        <f>"中专"</f>
        <v>中专</v>
      </c>
      <c r="H270" s="7" t="str">
        <f>"海南儋州"</f>
        <v>海南儋州</v>
      </c>
      <c r="I270" s="7"/>
    </row>
    <row r="271" spans="1:9" ht="30.75" customHeight="1">
      <c r="A271" s="6">
        <v>269</v>
      </c>
      <c r="B271" s="7" t="str">
        <f>"2522202008042015251310"</f>
        <v>2522202008042015251310</v>
      </c>
      <c r="C271" s="7" t="s">
        <v>33</v>
      </c>
      <c r="D271" s="7" t="str">
        <f>"吴定楼"</f>
        <v>吴定楼</v>
      </c>
      <c r="E271" s="7" t="str">
        <f>"国际护理"</f>
        <v>国际护理</v>
      </c>
      <c r="F271" s="7" t="str">
        <f t="shared" si="40"/>
        <v>2020.06</v>
      </c>
      <c r="G271" s="7" t="str">
        <f>"大专"</f>
        <v>大专</v>
      </c>
      <c r="H271" s="7" t="str">
        <f>"海南儋州"</f>
        <v>海南儋州</v>
      </c>
      <c r="I271" s="7"/>
    </row>
    <row r="272" spans="1:9" ht="30.75" customHeight="1">
      <c r="A272" s="6">
        <v>270</v>
      </c>
      <c r="B272" s="7" t="str">
        <f>"2522202008051408591464"</f>
        <v>2522202008051408591464</v>
      </c>
      <c r="C272" s="7" t="s">
        <v>33</v>
      </c>
      <c r="D272" s="7" t="str">
        <f>"王木香"</f>
        <v>王木香</v>
      </c>
      <c r="E272" s="7" t="str">
        <f>"护理"</f>
        <v>护理</v>
      </c>
      <c r="F272" s="7" t="str">
        <f t="shared" si="40"/>
        <v>2020.06</v>
      </c>
      <c r="G272" s="7" t="str">
        <f>"大专"</f>
        <v>大专</v>
      </c>
      <c r="H272" s="7" t="str">
        <f aca="true" t="shared" si="41" ref="H272:H275">"海南省儋州市"</f>
        <v>海南省儋州市</v>
      </c>
      <c r="I272" s="7"/>
    </row>
    <row r="273" spans="1:9" ht="30.75" customHeight="1">
      <c r="A273" s="6">
        <v>271</v>
      </c>
      <c r="B273" s="7" t="str">
        <f>"2522202008051606571492"</f>
        <v>2522202008051606571492</v>
      </c>
      <c r="C273" s="7" t="s">
        <v>33</v>
      </c>
      <c r="D273" s="7" t="str">
        <f>"陈玉女"</f>
        <v>陈玉女</v>
      </c>
      <c r="E273" s="7" t="str">
        <f>"护理专业"</f>
        <v>护理专业</v>
      </c>
      <c r="F273" s="7" t="str">
        <f t="shared" si="40"/>
        <v>2020.06</v>
      </c>
      <c r="G273" s="7" t="str">
        <f>"中专"</f>
        <v>中专</v>
      </c>
      <c r="H273" s="7" t="str">
        <f t="shared" si="41"/>
        <v>海南省儋州市</v>
      </c>
      <c r="I273" s="7"/>
    </row>
    <row r="274" spans="1:9" ht="30.75" customHeight="1">
      <c r="A274" s="6">
        <v>272</v>
      </c>
      <c r="B274" s="7" t="str">
        <f>"2522202008051742251524"</f>
        <v>2522202008051742251524</v>
      </c>
      <c r="C274" s="7" t="s">
        <v>33</v>
      </c>
      <c r="D274" s="7" t="str">
        <f>"邓运园"</f>
        <v>邓运园</v>
      </c>
      <c r="E274" s="7" t="str">
        <f>"护理"</f>
        <v>护理</v>
      </c>
      <c r="F274" s="7" t="str">
        <f t="shared" si="40"/>
        <v>2020.06</v>
      </c>
      <c r="G274" s="7" t="str">
        <f>"大专"</f>
        <v>大专</v>
      </c>
      <c r="H274" s="7" t="str">
        <f>"海南儋州"</f>
        <v>海南儋州</v>
      </c>
      <c r="I274" s="7"/>
    </row>
    <row r="275" spans="1:9" ht="30.75" customHeight="1">
      <c r="A275" s="6">
        <v>273</v>
      </c>
      <c r="B275" s="7" t="str">
        <f>"2522202008051807521534"</f>
        <v>2522202008051807521534</v>
      </c>
      <c r="C275" s="7" t="s">
        <v>33</v>
      </c>
      <c r="D275" s="7" t="str">
        <f>"李秀丹"</f>
        <v>李秀丹</v>
      </c>
      <c r="E275" s="7" t="str">
        <f>"护理学"</f>
        <v>护理学</v>
      </c>
      <c r="F275" s="7" t="str">
        <f t="shared" si="40"/>
        <v>2020.06</v>
      </c>
      <c r="G275" s="7" t="str">
        <f>"中专"</f>
        <v>中专</v>
      </c>
      <c r="H275" s="7" t="str">
        <f t="shared" si="41"/>
        <v>海南省儋州市</v>
      </c>
      <c r="I275" s="7"/>
    </row>
    <row r="276" spans="1:9" ht="30.75" customHeight="1">
      <c r="A276" s="6">
        <v>274</v>
      </c>
      <c r="B276" s="7" t="str">
        <f>"2522202008051915361548"</f>
        <v>2522202008051915361548</v>
      </c>
      <c r="C276" s="7" t="s">
        <v>33</v>
      </c>
      <c r="D276" s="7" t="str">
        <f>"黎仙爱"</f>
        <v>黎仙爱</v>
      </c>
      <c r="E276" s="7" t="str">
        <f>"护理"</f>
        <v>护理</v>
      </c>
      <c r="F276" s="7" t="str">
        <f t="shared" si="40"/>
        <v>2020.06</v>
      </c>
      <c r="G276" s="7" t="str">
        <f>"大专"</f>
        <v>大专</v>
      </c>
      <c r="H276" s="7" t="str">
        <f aca="true" t="shared" si="42" ref="H276:H282">"海南省儋州市"</f>
        <v>海南省儋州市</v>
      </c>
      <c r="I276" s="7"/>
    </row>
    <row r="277" spans="1:9" ht="30.75" customHeight="1">
      <c r="A277" s="6">
        <v>275</v>
      </c>
      <c r="B277" s="7" t="str">
        <f>"2522202008052041231568"</f>
        <v>2522202008052041231568</v>
      </c>
      <c r="C277" s="7" t="s">
        <v>33</v>
      </c>
      <c r="D277" s="7" t="str">
        <f>"何庆姬"</f>
        <v>何庆姬</v>
      </c>
      <c r="E277" s="7" t="str">
        <f>"护理"</f>
        <v>护理</v>
      </c>
      <c r="F277" s="7" t="str">
        <f t="shared" si="40"/>
        <v>2020.06</v>
      </c>
      <c r="G277" s="7" t="str">
        <f>"中专"</f>
        <v>中专</v>
      </c>
      <c r="H277" s="7" t="str">
        <f t="shared" si="42"/>
        <v>海南省儋州市</v>
      </c>
      <c r="I277" s="7"/>
    </row>
    <row r="278" spans="1:9" ht="30.75" customHeight="1">
      <c r="A278" s="6">
        <v>276</v>
      </c>
      <c r="B278" s="7" t="str">
        <f>"2522202008052045531570"</f>
        <v>2522202008052045531570</v>
      </c>
      <c r="C278" s="7" t="s">
        <v>33</v>
      </c>
      <c r="D278" s="7" t="str">
        <f>"李兴喜"</f>
        <v>李兴喜</v>
      </c>
      <c r="E278" s="7" t="str">
        <f>"护理专业"</f>
        <v>护理专业</v>
      </c>
      <c r="F278" s="7" t="str">
        <f t="shared" si="40"/>
        <v>2020.06</v>
      </c>
      <c r="G278" s="7" t="str">
        <f>"中专"</f>
        <v>中专</v>
      </c>
      <c r="H278" s="7" t="str">
        <f t="shared" si="42"/>
        <v>海南省儋州市</v>
      </c>
      <c r="I278" s="7"/>
    </row>
    <row r="279" spans="1:9" ht="30.75" customHeight="1">
      <c r="A279" s="6">
        <v>277</v>
      </c>
      <c r="B279" s="7" t="str">
        <f>"2522202008052341351615"</f>
        <v>2522202008052341351615</v>
      </c>
      <c r="C279" s="7" t="s">
        <v>33</v>
      </c>
      <c r="D279" s="7" t="str">
        <f>"曾彩菊"</f>
        <v>曾彩菊</v>
      </c>
      <c r="E279" s="7" t="str">
        <f>"护理"</f>
        <v>护理</v>
      </c>
      <c r="F279" s="7" t="str">
        <f>"2020.07"</f>
        <v>2020.07</v>
      </c>
      <c r="G279" s="7" t="str">
        <f>"大专"</f>
        <v>大专</v>
      </c>
      <c r="H279" s="7" t="str">
        <f>"海南儋州"</f>
        <v>海南儋州</v>
      </c>
      <c r="I279" s="7"/>
    </row>
    <row r="280" spans="1:9" ht="30.75" customHeight="1">
      <c r="A280" s="6">
        <v>278</v>
      </c>
      <c r="B280" s="7" t="str">
        <f>"2522202008061001211653"</f>
        <v>2522202008061001211653</v>
      </c>
      <c r="C280" s="7" t="s">
        <v>33</v>
      </c>
      <c r="D280" s="7" t="str">
        <f>"罗芹"</f>
        <v>罗芹</v>
      </c>
      <c r="E280" s="7" t="str">
        <f>"护理"</f>
        <v>护理</v>
      </c>
      <c r="F280" s="7" t="str">
        <f>"2020年6月30日"</f>
        <v>2020年6月30日</v>
      </c>
      <c r="G280" s="7" t="str">
        <f>"中专"</f>
        <v>中专</v>
      </c>
      <c r="H280" s="7" t="str">
        <f t="shared" si="42"/>
        <v>海南省儋州市</v>
      </c>
      <c r="I280" s="7"/>
    </row>
    <row r="281" spans="1:9" ht="30.75" customHeight="1">
      <c r="A281" s="6">
        <v>279</v>
      </c>
      <c r="B281" s="7" t="str">
        <f>"2522202008061043591668"</f>
        <v>2522202008061043591668</v>
      </c>
      <c r="C281" s="7" t="s">
        <v>33</v>
      </c>
      <c r="D281" s="7" t="str">
        <f>"何敏"</f>
        <v>何敏</v>
      </c>
      <c r="E281" s="7" t="str">
        <f>"护理学"</f>
        <v>护理学</v>
      </c>
      <c r="F281" s="7" t="str">
        <f>"2013.06"</f>
        <v>2013.06</v>
      </c>
      <c r="G281" s="7" t="str">
        <f>"大专"</f>
        <v>大专</v>
      </c>
      <c r="H281" s="7" t="str">
        <f t="shared" si="42"/>
        <v>海南省儋州市</v>
      </c>
      <c r="I281" s="7"/>
    </row>
    <row r="282" spans="1:9" ht="30.75" customHeight="1">
      <c r="A282" s="6">
        <v>280</v>
      </c>
      <c r="B282" s="7" t="str">
        <f>"2522202008061523431742"</f>
        <v>2522202008061523431742</v>
      </c>
      <c r="C282" s="7" t="s">
        <v>33</v>
      </c>
      <c r="D282" s="7" t="str">
        <f>"徐春欢"</f>
        <v>徐春欢</v>
      </c>
      <c r="E282" s="7" t="str">
        <f>"护理学"</f>
        <v>护理学</v>
      </c>
      <c r="F282" s="7" t="str">
        <f>"2020.06"</f>
        <v>2020.06</v>
      </c>
      <c r="G282" s="7" t="str">
        <f>"中专"</f>
        <v>中专</v>
      </c>
      <c r="H282" s="7" t="str">
        <f t="shared" si="42"/>
        <v>海南省儋州市</v>
      </c>
      <c r="I282" s="7"/>
    </row>
    <row r="283" spans="1:9" ht="30.75" customHeight="1">
      <c r="A283" s="6">
        <v>281</v>
      </c>
      <c r="B283" s="7" t="str">
        <f>"2522202008081404091885"</f>
        <v>2522202008081404091885</v>
      </c>
      <c r="C283" s="7" t="s">
        <v>33</v>
      </c>
      <c r="D283" s="7" t="str">
        <f>"陈夏"</f>
        <v>陈夏</v>
      </c>
      <c r="E283" s="7" t="str">
        <f>"护理"</f>
        <v>护理</v>
      </c>
      <c r="F283" s="7" t="str">
        <f>"2020-6"</f>
        <v>2020-6</v>
      </c>
      <c r="G283" s="7" t="str">
        <f>"本科"</f>
        <v>本科</v>
      </c>
      <c r="H283" s="7" t="str">
        <f>"海南儋州"</f>
        <v>海南儋州</v>
      </c>
      <c r="I283" s="7"/>
    </row>
    <row r="284" spans="1:9" ht="30.75" customHeight="1">
      <c r="A284" s="6">
        <v>282</v>
      </c>
      <c r="B284" s="7" t="str">
        <f>"25222020080208170016"</f>
        <v>25222020080208170016</v>
      </c>
      <c r="C284" s="7" t="s">
        <v>34</v>
      </c>
      <c r="D284" s="7" t="str">
        <f>"刘引菊"</f>
        <v>刘引菊</v>
      </c>
      <c r="E284" s="7" t="str">
        <f>"财务管理"</f>
        <v>财务管理</v>
      </c>
      <c r="F284" s="7" t="str">
        <f>"2020.07."</f>
        <v>2020.07.</v>
      </c>
      <c r="G284" s="7" t="str">
        <f>"本科"</f>
        <v>本科</v>
      </c>
      <c r="H284" s="7" t="str">
        <f>"海南省儋州市"</f>
        <v>海南省儋州市</v>
      </c>
      <c r="I284" s="7"/>
    </row>
    <row r="285" spans="1:9" ht="30.75" customHeight="1">
      <c r="A285" s="6">
        <v>283</v>
      </c>
      <c r="B285" s="7" t="str">
        <f>"25222020080208463051"</f>
        <v>25222020080208463051</v>
      </c>
      <c r="C285" s="7" t="s">
        <v>34</v>
      </c>
      <c r="D285" s="7" t="str">
        <f>"符玉官"</f>
        <v>符玉官</v>
      </c>
      <c r="E285" s="7" t="str">
        <f>"会计"</f>
        <v>会计</v>
      </c>
      <c r="F285" s="7" t="str">
        <f>"2020.06"</f>
        <v>2020.06</v>
      </c>
      <c r="G285" s="7" t="str">
        <f>"大专"</f>
        <v>大专</v>
      </c>
      <c r="H285" s="7" t="str">
        <f>"海南儋州"</f>
        <v>海南儋州</v>
      </c>
      <c r="I285" s="7"/>
    </row>
    <row r="286" spans="1:9" ht="30.75" customHeight="1">
      <c r="A286" s="6">
        <v>284</v>
      </c>
      <c r="B286" s="7" t="str">
        <f>"25222020080209272292"</f>
        <v>25222020080209272292</v>
      </c>
      <c r="C286" s="7" t="s">
        <v>34</v>
      </c>
      <c r="D286" s="7" t="str">
        <f>"刘秋冰"</f>
        <v>刘秋冰</v>
      </c>
      <c r="E286" s="7" t="str">
        <f>"会计学（注册会计）"</f>
        <v>会计学（注册会计）</v>
      </c>
      <c r="F286" s="7" t="str">
        <f>"2020.06"</f>
        <v>2020.06</v>
      </c>
      <c r="G286" s="7" t="str">
        <f>"本科"</f>
        <v>本科</v>
      </c>
      <c r="H286" s="7" t="str">
        <f>"海南儋州"</f>
        <v>海南儋州</v>
      </c>
      <c r="I286" s="7"/>
    </row>
    <row r="287" spans="1:9" ht="30.75" customHeight="1">
      <c r="A287" s="6">
        <v>285</v>
      </c>
      <c r="B287" s="7" t="str">
        <f>"252220200802101214137"</f>
        <v>252220200802101214137</v>
      </c>
      <c r="C287" s="7" t="s">
        <v>34</v>
      </c>
      <c r="D287" s="7" t="str">
        <f>"吴冬妍"</f>
        <v>吴冬妍</v>
      </c>
      <c r="E287" s="7" t="str">
        <f>"财务管理"</f>
        <v>财务管理</v>
      </c>
      <c r="F287" s="7" t="str">
        <f>"2020年6月"</f>
        <v>2020年6月</v>
      </c>
      <c r="G287" s="7" t="str">
        <f>"大专"</f>
        <v>大专</v>
      </c>
      <c r="H287" s="7" t="str">
        <f aca="true" t="shared" si="43" ref="H287:H293">"海南省儋州市"</f>
        <v>海南省儋州市</v>
      </c>
      <c r="I287" s="7"/>
    </row>
    <row r="288" spans="1:9" ht="30.75" customHeight="1">
      <c r="A288" s="6">
        <v>286</v>
      </c>
      <c r="B288" s="7" t="str">
        <f>"252220200802103829164"</f>
        <v>252220200802103829164</v>
      </c>
      <c r="C288" s="7" t="s">
        <v>34</v>
      </c>
      <c r="D288" s="7" t="str">
        <f>"黎万喜"</f>
        <v>黎万喜</v>
      </c>
      <c r="E288" s="7" t="str">
        <f>"会计"</f>
        <v>会计</v>
      </c>
      <c r="F288" s="7" t="str">
        <f>"2020.07"</f>
        <v>2020.07</v>
      </c>
      <c r="G288" s="7" t="str">
        <f>"大专"</f>
        <v>大专</v>
      </c>
      <c r="H288" s="7" t="str">
        <f>"海南儋州"</f>
        <v>海南儋州</v>
      </c>
      <c r="I288" s="7"/>
    </row>
    <row r="289" spans="1:9" ht="30.75" customHeight="1">
      <c r="A289" s="6">
        <v>287</v>
      </c>
      <c r="B289" s="7" t="str">
        <f>"252220200802114055245"</f>
        <v>252220200802114055245</v>
      </c>
      <c r="C289" s="7" t="s">
        <v>34</v>
      </c>
      <c r="D289" s="7" t="str">
        <f>"何丽莉"</f>
        <v>何丽莉</v>
      </c>
      <c r="E289" s="7" t="str">
        <f>"财务管理"</f>
        <v>财务管理</v>
      </c>
      <c r="F289" s="7" t="str">
        <f>"2020.06"</f>
        <v>2020.06</v>
      </c>
      <c r="G289" s="7" t="str">
        <f aca="true" t="shared" si="44" ref="G289:G296">"本科"</f>
        <v>本科</v>
      </c>
      <c r="H289" s="7" t="str">
        <f>"海南儋州"</f>
        <v>海南儋州</v>
      </c>
      <c r="I289" s="7"/>
    </row>
    <row r="290" spans="1:9" ht="30.75" customHeight="1">
      <c r="A290" s="6">
        <v>288</v>
      </c>
      <c r="B290" s="7" t="str">
        <f>"252220200802115359261"</f>
        <v>252220200802115359261</v>
      </c>
      <c r="C290" s="7" t="s">
        <v>34</v>
      </c>
      <c r="D290" s="7" t="str">
        <f>"陈美娇"</f>
        <v>陈美娇</v>
      </c>
      <c r="E290" s="7" t="str">
        <f>"财务管理"</f>
        <v>财务管理</v>
      </c>
      <c r="F290" s="7" t="str">
        <f>"2020.06"</f>
        <v>2020.06</v>
      </c>
      <c r="G290" s="7" t="str">
        <f t="shared" si="44"/>
        <v>本科</v>
      </c>
      <c r="H290" s="7" t="str">
        <f>"海南儋州"</f>
        <v>海南儋州</v>
      </c>
      <c r="I290" s="7"/>
    </row>
    <row r="291" spans="1:9" ht="30.75" customHeight="1">
      <c r="A291" s="6">
        <v>289</v>
      </c>
      <c r="B291" s="7" t="str">
        <f>"252220200802124810306"</f>
        <v>252220200802124810306</v>
      </c>
      <c r="C291" s="7" t="s">
        <v>34</v>
      </c>
      <c r="D291" s="7" t="str">
        <f>"吴建爱"</f>
        <v>吴建爱</v>
      </c>
      <c r="E291" s="7" t="str">
        <f>"会计学"</f>
        <v>会计学</v>
      </c>
      <c r="F291" s="7" t="str">
        <f>"2020.06"</f>
        <v>2020.06</v>
      </c>
      <c r="G291" s="7" t="str">
        <f t="shared" si="44"/>
        <v>本科</v>
      </c>
      <c r="H291" s="7" t="str">
        <f t="shared" si="43"/>
        <v>海南省儋州市</v>
      </c>
      <c r="I291" s="7"/>
    </row>
    <row r="292" spans="1:9" ht="30.75" customHeight="1">
      <c r="A292" s="6">
        <v>290</v>
      </c>
      <c r="B292" s="7" t="str">
        <f>"252220200802132634327"</f>
        <v>252220200802132634327</v>
      </c>
      <c r="C292" s="7" t="s">
        <v>34</v>
      </c>
      <c r="D292" s="7" t="str">
        <f>"吴静娜"</f>
        <v>吴静娜</v>
      </c>
      <c r="E292" s="7" t="str">
        <f>"财务管理"</f>
        <v>财务管理</v>
      </c>
      <c r="F292" s="7" t="str">
        <f>"2020.07"</f>
        <v>2020.07</v>
      </c>
      <c r="G292" s="7" t="str">
        <f t="shared" si="44"/>
        <v>本科</v>
      </c>
      <c r="H292" s="7" t="str">
        <f t="shared" si="43"/>
        <v>海南省儋州市</v>
      </c>
      <c r="I292" s="7"/>
    </row>
    <row r="293" spans="1:9" ht="30.75" customHeight="1">
      <c r="A293" s="6">
        <v>291</v>
      </c>
      <c r="B293" s="7" t="str">
        <f>"252220200802133238333"</f>
        <v>252220200802133238333</v>
      </c>
      <c r="C293" s="7" t="s">
        <v>34</v>
      </c>
      <c r="D293" s="7" t="str">
        <f>"唐庆洁"</f>
        <v>唐庆洁</v>
      </c>
      <c r="E293" s="7" t="str">
        <f>"会计学"</f>
        <v>会计学</v>
      </c>
      <c r="F293" s="7" t="str">
        <f>"2020.07"</f>
        <v>2020.07</v>
      </c>
      <c r="G293" s="7" t="str">
        <f t="shared" si="44"/>
        <v>本科</v>
      </c>
      <c r="H293" s="7" t="str">
        <f t="shared" si="43"/>
        <v>海南省儋州市</v>
      </c>
      <c r="I293" s="7"/>
    </row>
    <row r="294" spans="1:9" ht="30.75" customHeight="1">
      <c r="A294" s="6">
        <v>292</v>
      </c>
      <c r="B294" s="7" t="str">
        <f>"252220200802135940346"</f>
        <v>252220200802135940346</v>
      </c>
      <c r="C294" s="7" t="s">
        <v>34</v>
      </c>
      <c r="D294" s="7" t="str">
        <f>"何声辉"</f>
        <v>何声辉</v>
      </c>
      <c r="E294" s="7" t="str">
        <f>"会计学"</f>
        <v>会计学</v>
      </c>
      <c r="F294" s="7" t="str">
        <f>"2020.06"</f>
        <v>2020.06</v>
      </c>
      <c r="G294" s="7" t="str">
        <f t="shared" si="44"/>
        <v>本科</v>
      </c>
      <c r="H294" s="7" t="str">
        <f>"海南儋州"</f>
        <v>海南儋州</v>
      </c>
      <c r="I294" s="7"/>
    </row>
    <row r="295" spans="1:9" ht="30.75" customHeight="1">
      <c r="A295" s="6">
        <v>293</v>
      </c>
      <c r="B295" s="7" t="str">
        <f>"252220200802160827419"</f>
        <v>252220200802160827419</v>
      </c>
      <c r="C295" s="7" t="s">
        <v>34</v>
      </c>
      <c r="D295" s="7" t="str">
        <f>"吴月逢"</f>
        <v>吴月逢</v>
      </c>
      <c r="E295" s="7" t="str">
        <f>"会计学"</f>
        <v>会计学</v>
      </c>
      <c r="F295" s="7" t="str">
        <f>"2020.07"</f>
        <v>2020.07</v>
      </c>
      <c r="G295" s="7" t="str">
        <f t="shared" si="44"/>
        <v>本科</v>
      </c>
      <c r="H295" s="7" t="str">
        <f>"海南儋州"</f>
        <v>海南儋州</v>
      </c>
      <c r="I295" s="7"/>
    </row>
    <row r="296" spans="1:9" ht="30.75" customHeight="1">
      <c r="A296" s="6">
        <v>294</v>
      </c>
      <c r="B296" s="7" t="str">
        <f>"252220200802193100519"</f>
        <v>252220200802193100519</v>
      </c>
      <c r="C296" s="7" t="s">
        <v>34</v>
      </c>
      <c r="D296" s="7" t="str">
        <f>"邓丽丽"</f>
        <v>邓丽丽</v>
      </c>
      <c r="E296" s="7" t="str">
        <f>"财务管理"</f>
        <v>财务管理</v>
      </c>
      <c r="F296" s="7" t="str">
        <f>"2020年7月"</f>
        <v>2020年7月</v>
      </c>
      <c r="G296" s="7" t="str">
        <f t="shared" si="44"/>
        <v>本科</v>
      </c>
      <c r="H296" s="7" t="str">
        <f>"海南省儋州市"</f>
        <v>海南省儋州市</v>
      </c>
      <c r="I296" s="7"/>
    </row>
    <row r="297" spans="1:9" ht="30.75" customHeight="1">
      <c r="A297" s="6">
        <v>295</v>
      </c>
      <c r="B297" s="7" t="str">
        <f>"252220200802194809526"</f>
        <v>252220200802194809526</v>
      </c>
      <c r="C297" s="7" t="s">
        <v>34</v>
      </c>
      <c r="D297" s="7" t="str">
        <f>"陈雪素"</f>
        <v>陈雪素</v>
      </c>
      <c r="E297" s="7" t="str">
        <f>"会计"</f>
        <v>会计</v>
      </c>
      <c r="F297" s="7" t="str">
        <f>"2020.06"</f>
        <v>2020.06</v>
      </c>
      <c r="G297" s="7" t="str">
        <f>"大专"</f>
        <v>大专</v>
      </c>
      <c r="H297" s="7" t="str">
        <f>"海南省儋州市"</f>
        <v>海南省儋州市</v>
      </c>
      <c r="I297" s="7"/>
    </row>
    <row r="298" spans="1:9" ht="30.75" customHeight="1">
      <c r="A298" s="6">
        <v>296</v>
      </c>
      <c r="B298" s="7" t="str">
        <f>"252220200802203359549"</f>
        <v>252220200802203359549</v>
      </c>
      <c r="C298" s="7" t="s">
        <v>34</v>
      </c>
      <c r="D298" s="7" t="str">
        <f>"羊金玲"</f>
        <v>羊金玲</v>
      </c>
      <c r="E298" s="7" t="str">
        <f>"会计学"</f>
        <v>会计学</v>
      </c>
      <c r="F298" s="7" t="str">
        <f>"2020.07"</f>
        <v>2020.07</v>
      </c>
      <c r="G298" s="7" t="str">
        <f>"本科"</f>
        <v>本科</v>
      </c>
      <c r="H298" s="7" t="str">
        <f>"海南省儋州市"</f>
        <v>海南省儋州市</v>
      </c>
      <c r="I298" s="7"/>
    </row>
    <row r="299" spans="1:9" ht="30.75" customHeight="1">
      <c r="A299" s="6">
        <v>297</v>
      </c>
      <c r="B299" s="7" t="str">
        <f>"252220200802204952553"</f>
        <v>252220200802204952553</v>
      </c>
      <c r="C299" s="7" t="s">
        <v>34</v>
      </c>
      <c r="D299" s="7" t="str">
        <f>"王明彩"</f>
        <v>王明彩</v>
      </c>
      <c r="E299" s="7" t="str">
        <f>"财务管理"</f>
        <v>财务管理</v>
      </c>
      <c r="F299" s="7" t="str">
        <f>"2020.06"</f>
        <v>2020.06</v>
      </c>
      <c r="G299" s="7" t="str">
        <f>"本科"</f>
        <v>本科</v>
      </c>
      <c r="H299" s="7" t="str">
        <f aca="true" t="shared" si="45" ref="H299:H306">"海南儋州"</f>
        <v>海南儋州</v>
      </c>
      <c r="I299" s="7"/>
    </row>
    <row r="300" spans="1:9" ht="30.75" customHeight="1">
      <c r="A300" s="6">
        <v>298</v>
      </c>
      <c r="B300" s="7" t="str">
        <f>"252220200802220321583"</f>
        <v>252220200802220321583</v>
      </c>
      <c r="C300" s="7" t="s">
        <v>34</v>
      </c>
      <c r="D300" s="7" t="str">
        <f>"梁庆妹"</f>
        <v>梁庆妹</v>
      </c>
      <c r="E300" s="7" t="str">
        <f>"会计学"</f>
        <v>会计学</v>
      </c>
      <c r="F300" s="7" t="str">
        <f>"2020.07"</f>
        <v>2020.07</v>
      </c>
      <c r="G300" s="7" t="str">
        <f>"本科"</f>
        <v>本科</v>
      </c>
      <c r="H300" s="7" t="str">
        <f t="shared" si="45"/>
        <v>海南儋州</v>
      </c>
      <c r="I300" s="7"/>
    </row>
    <row r="301" spans="1:9" ht="30.75" customHeight="1">
      <c r="A301" s="6">
        <v>299</v>
      </c>
      <c r="B301" s="7" t="str">
        <f>"252220200803085649658"</f>
        <v>252220200803085649658</v>
      </c>
      <c r="C301" s="7" t="s">
        <v>34</v>
      </c>
      <c r="D301" s="7" t="str">
        <f>"骆柳女"</f>
        <v>骆柳女</v>
      </c>
      <c r="E301" s="7" t="str">
        <f>"财务管理"</f>
        <v>财务管理</v>
      </c>
      <c r="F301" s="7" t="str">
        <f>"2020.06"</f>
        <v>2020.06</v>
      </c>
      <c r="G301" s="7" t="str">
        <f>"本科"</f>
        <v>本科</v>
      </c>
      <c r="H301" s="7" t="str">
        <f t="shared" si="45"/>
        <v>海南儋州</v>
      </c>
      <c r="I301" s="7"/>
    </row>
    <row r="302" spans="1:9" ht="30.75" customHeight="1">
      <c r="A302" s="6">
        <v>300</v>
      </c>
      <c r="B302" s="7" t="str">
        <f>"252220200803091657674"</f>
        <v>252220200803091657674</v>
      </c>
      <c r="C302" s="7" t="s">
        <v>34</v>
      </c>
      <c r="D302" s="7" t="str">
        <f>"符丽丽"</f>
        <v>符丽丽</v>
      </c>
      <c r="E302" s="7" t="str">
        <f>"财务管理"</f>
        <v>财务管理</v>
      </c>
      <c r="F302" s="7" t="str">
        <f>"2020.06"</f>
        <v>2020.06</v>
      </c>
      <c r="G302" s="7" t="str">
        <f>"本科"</f>
        <v>本科</v>
      </c>
      <c r="H302" s="7" t="str">
        <f t="shared" si="45"/>
        <v>海南儋州</v>
      </c>
      <c r="I302" s="7"/>
    </row>
    <row r="303" spans="1:9" ht="30.75" customHeight="1">
      <c r="A303" s="6">
        <v>301</v>
      </c>
      <c r="B303" s="7" t="str">
        <f>"252220200803102821729"</f>
        <v>252220200803102821729</v>
      </c>
      <c r="C303" s="7" t="s">
        <v>34</v>
      </c>
      <c r="D303" s="7" t="str">
        <f>"吴燕梅"</f>
        <v>吴燕梅</v>
      </c>
      <c r="E303" s="7" t="str">
        <f>"会计学"</f>
        <v>会计学</v>
      </c>
      <c r="F303" s="7" t="str">
        <f>"2020.06"</f>
        <v>2020.06</v>
      </c>
      <c r="G303" s="7" t="str">
        <f>"中专"</f>
        <v>中专</v>
      </c>
      <c r="H303" s="7" t="str">
        <f t="shared" si="45"/>
        <v>海南儋州</v>
      </c>
      <c r="I303" s="7"/>
    </row>
    <row r="304" spans="1:9" ht="30.75" customHeight="1">
      <c r="A304" s="6">
        <v>302</v>
      </c>
      <c r="B304" s="7" t="str">
        <f>"252220200803124608807"</f>
        <v>252220200803124608807</v>
      </c>
      <c r="C304" s="7" t="s">
        <v>34</v>
      </c>
      <c r="D304" s="7" t="str">
        <f>"李菊女"</f>
        <v>李菊女</v>
      </c>
      <c r="E304" s="7" t="str">
        <f>"会计学"</f>
        <v>会计学</v>
      </c>
      <c r="F304" s="7" t="str">
        <f>"2020.07"</f>
        <v>2020.07</v>
      </c>
      <c r="G304" s="7" t="str">
        <f aca="true" t="shared" si="46" ref="G304:G316">"本科"</f>
        <v>本科</v>
      </c>
      <c r="H304" s="7" t="str">
        <f t="shared" si="45"/>
        <v>海南儋州</v>
      </c>
      <c r="I304" s="7"/>
    </row>
    <row r="305" spans="1:9" ht="30.75" customHeight="1">
      <c r="A305" s="6">
        <v>303</v>
      </c>
      <c r="B305" s="7" t="str">
        <f>"252220200803130920817"</f>
        <v>252220200803130920817</v>
      </c>
      <c r="C305" s="7" t="s">
        <v>34</v>
      </c>
      <c r="D305" s="7" t="str">
        <f>"曾智武"</f>
        <v>曾智武</v>
      </c>
      <c r="E305" s="7" t="str">
        <f>"会计学"</f>
        <v>会计学</v>
      </c>
      <c r="F305" s="7" t="str">
        <f>"2020.06"</f>
        <v>2020.06</v>
      </c>
      <c r="G305" s="7" t="str">
        <f t="shared" si="46"/>
        <v>本科</v>
      </c>
      <c r="H305" s="7" t="str">
        <f t="shared" si="45"/>
        <v>海南儋州</v>
      </c>
      <c r="I305" s="7"/>
    </row>
    <row r="306" spans="1:9" ht="30.75" customHeight="1">
      <c r="A306" s="6">
        <v>304</v>
      </c>
      <c r="B306" s="7" t="str">
        <f>"252220200803142104842"</f>
        <v>252220200803142104842</v>
      </c>
      <c r="C306" s="7" t="s">
        <v>34</v>
      </c>
      <c r="D306" s="7" t="str">
        <f>"陆宣后"</f>
        <v>陆宣后</v>
      </c>
      <c r="E306" s="7" t="str">
        <f>"会计学"</f>
        <v>会计学</v>
      </c>
      <c r="F306" s="7" t="str">
        <f>"2020.06"</f>
        <v>2020.06</v>
      </c>
      <c r="G306" s="7" t="str">
        <f t="shared" si="46"/>
        <v>本科</v>
      </c>
      <c r="H306" s="7" t="str">
        <f t="shared" si="45"/>
        <v>海南儋州</v>
      </c>
      <c r="I306" s="7"/>
    </row>
    <row r="307" spans="1:9" ht="30.75" customHeight="1">
      <c r="A307" s="6">
        <v>305</v>
      </c>
      <c r="B307" s="7" t="str">
        <f>"252220200803155149882"</f>
        <v>252220200803155149882</v>
      </c>
      <c r="C307" s="7" t="s">
        <v>34</v>
      </c>
      <c r="D307" s="7" t="str">
        <f>"莫土勤"</f>
        <v>莫土勤</v>
      </c>
      <c r="E307" s="7" t="str">
        <f>"会计学"</f>
        <v>会计学</v>
      </c>
      <c r="F307" s="7" t="str">
        <f>"2020.06"</f>
        <v>2020.06</v>
      </c>
      <c r="G307" s="7" t="str">
        <f t="shared" si="46"/>
        <v>本科</v>
      </c>
      <c r="H307" s="7" t="str">
        <f>"海南省儋州市"</f>
        <v>海南省儋州市</v>
      </c>
      <c r="I307" s="7"/>
    </row>
    <row r="308" spans="1:9" ht="30.75" customHeight="1">
      <c r="A308" s="6">
        <v>306</v>
      </c>
      <c r="B308" s="7" t="str">
        <f>"2522202008040959491105"</f>
        <v>2522202008040959491105</v>
      </c>
      <c r="C308" s="7" t="s">
        <v>34</v>
      </c>
      <c r="D308" s="7" t="str">
        <f>"李立娜"</f>
        <v>李立娜</v>
      </c>
      <c r="E308" s="7" t="str">
        <f>"财务管理"</f>
        <v>财务管理</v>
      </c>
      <c r="F308" s="7" t="str">
        <f>"2020.06"</f>
        <v>2020.06</v>
      </c>
      <c r="G308" s="7" t="str">
        <f t="shared" si="46"/>
        <v>本科</v>
      </c>
      <c r="H308" s="7" t="str">
        <f>"海南儋州"</f>
        <v>海南儋州</v>
      </c>
      <c r="I308" s="7"/>
    </row>
    <row r="309" spans="1:9" ht="30.75" customHeight="1">
      <c r="A309" s="6">
        <v>307</v>
      </c>
      <c r="B309" s="7" t="str">
        <f>"2522202008041006131110"</f>
        <v>2522202008041006131110</v>
      </c>
      <c r="C309" s="7" t="s">
        <v>34</v>
      </c>
      <c r="D309" s="7" t="str">
        <f>"符美玲"</f>
        <v>符美玲</v>
      </c>
      <c r="E309" s="7" t="str">
        <f>"会计学"</f>
        <v>会计学</v>
      </c>
      <c r="F309" s="7" t="str">
        <f>"2020.06"</f>
        <v>2020.06</v>
      </c>
      <c r="G309" s="7" t="str">
        <f t="shared" si="46"/>
        <v>本科</v>
      </c>
      <c r="H309" s="7" t="str">
        <f>"海南省儋州市"</f>
        <v>海南省儋州市</v>
      </c>
      <c r="I309" s="7"/>
    </row>
    <row r="310" spans="1:9" ht="30.75" customHeight="1">
      <c r="A310" s="6">
        <v>308</v>
      </c>
      <c r="B310" s="7" t="str">
        <f>"2522202008041230081174"</f>
        <v>2522202008041230081174</v>
      </c>
      <c r="C310" s="7" t="s">
        <v>34</v>
      </c>
      <c r="D310" s="7" t="str">
        <f>"林秋莹"</f>
        <v>林秋莹</v>
      </c>
      <c r="E310" s="7" t="str">
        <f>"会计学"</f>
        <v>会计学</v>
      </c>
      <c r="F310" s="7" t="str">
        <f>"2020.07"</f>
        <v>2020.07</v>
      </c>
      <c r="G310" s="7" t="str">
        <f t="shared" si="46"/>
        <v>本科</v>
      </c>
      <c r="H310" s="7" t="str">
        <f>"海南儋州"</f>
        <v>海南儋州</v>
      </c>
      <c r="I310" s="7"/>
    </row>
    <row r="311" spans="1:9" ht="30.75" customHeight="1">
      <c r="A311" s="6">
        <v>309</v>
      </c>
      <c r="B311" s="7" t="str">
        <f>"2522202008041253041182"</f>
        <v>2522202008041253041182</v>
      </c>
      <c r="C311" s="7" t="s">
        <v>34</v>
      </c>
      <c r="D311" s="7" t="str">
        <f>"谢生斌"</f>
        <v>谢生斌</v>
      </c>
      <c r="E311" s="7" t="str">
        <f>"会计学（注册会计）"</f>
        <v>会计学（注册会计）</v>
      </c>
      <c r="F311" s="7" t="str">
        <f>"2020.06"</f>
        <v>2020.06</v>
      </c>
      <c r="G311" s="7" t="str">
        <f t="shared" si="46"/>
        <v>本科</v>
      </c>
      <c r="H311" s="7" t="str">
        <f>"海南儋州"</f>
        <v>海南儋州</v>
      </c>
      <c r="I311" s="7"/>
    </row>
    <row r="312" spans="1:9" ht="30.75" customHeight="1">
      <c r="A312" s="6">
        <v>310</v>
      </c>
      <c r="B312" s="7" t="str">
        <f>"2522202008041507111208"</f>
        <v>2522202008041507111208</v>
      </c>
      <c r="C312" s="7" t="s">
        <v>34</v>
      </c>
      <c r="D312" s="7" t="str">
        <f>"李宁芬"</f>
        <v>李宁芬</v>
      </c>
      <c r="E312" s="7" t="str">
        <f>"会计学"</f>
        <v>会计学</v>
      </c>
      <c r="F312" s="7" t="str">
        <f>"2020.06"</f>
        <v>2020.06</v>
      </c>
      <c r="G312" s="7" t="str">
        <f t="shared" si="46"/>
        <v>本科</v>
      </c>
      <c r="H312" s="7" t="str">
        <f>"海南儋州"</f>
        <v>海南儋州</v>
      </c>
      <c r="I312" s="7"/>
    </row>
    <row r="313" spans="1:9" ht="30.75" customHeight="1">
      <c r="A313" s="6">
        <v>311</v>
      </c>
      <c r="B313" s="7" t="str">
        <f>"2522202008042022501316"</f>
        <v>2522202008042022501316</v>
      </c>
      <c r="C313" s="7" t="s">
        <v>34</v>
      </c>
      <c r="D313" s="7" t="str">
        <f>"郑世林"</f>
        <v>郑世林</v>
      </c>
      <c r="E313" s="7" t="str">
        <f>"会计学"</f>
        <v>会计学</v>
      </c>
      <c r="F313" s="7" t="str">
        <f>"2020.06"</f>
        <v>2020.06</v>
      </c>
      <c r="G313" s="7" t="str">
        <f t="shared" si="46"/>
        <v>本科</v>
      </c>
      <c r="H313" s="7" t="str">
        <f>"海南儋州"</f>
        <v>海南儋州</v>
      </c>
      <c r="I313" s="7"/>
    </row>
    <row r="314" spans="1:9" ht="30.75" customHeight="1">
      <c r="A314" s="6">
        <v>312</v>
      </c>
      <c r="B314" s="7" t="str">
        <f>"2522202008042126121333"</f>
        <v>2522202008042126121333</v>
      </c>
      <c r="C314" s="7" t="s">
        <v>34</v>
      </c>
      <c r="D314" s="7" t="str">
        <f>"徐连妹"</f>
        <v>徐连妹</v>
      </c>
      <c r="E314" s="7" t="str">
        <f>"会计学"</f>
        <v>会计学</v>
      </c>
      <c r="F314" s="7" t="str">
        <f>"2020.6"</f>
        <v>2020.6</v>
      </c>
      <c r="G314" s="7" t="str">
        <f t="shared" si="46"/>
        <v>本科</v>
      </c>
      <c r="H314" s="7" t="str">
        <f aca="true" t="shared" si="47" ref="H314:H319">"海南省儋州市"</f>
        <v>海南省儋州市</v>
      </c>
      <c r="I314" s="7"/>
    </row>
    <row r="315" spans="1:9" ht="30.75" customHeight="1">
      <c r="A315" s="6">
        <v>313</v>
      </c>
      <c r="B315" s="7" t="str">
        <f>"2522202008042141091340"</f>
        <v>2522202008042141091340</v>
      </c>
      <c r="C315" s="7" t="s">
        <v>34</v>
      </c>
      <c r="D315" s="7" t="str">
        <f>"吴丽姿"</f>
        <v>吴丽姿</v>
      </c>
      <c r="E315" s="7" t="str">
        <f>"会计学"</f>
        <v>会计学</v>
      </c>
      <c r="F315" s="7" t="str">
        <f>"2020.07"</f>
        <v>2020.07</v>
      </c>
      <c r="G315" s="7" t="str">
        <f t="shared" si="46"/>
        <v>本科</v>
      </c>
      <c r="H315" s="7" t="str">
        <f>"海南儋州"</f>
        <v>海南儋州</v>
      </c>
      <c r="I315" s="7"/>
    </row>
    <row r="316" spans="1:9" ht="30.75" customHeight="1">
      <c r="A316" s="6">
        <v>314</v>
      </c>
      <c r="B316" s="7" t="str">
        <f>"2522202008051044161413"</f>
        <v>2522202008051044161413</v>
      </c>
      <c r="C316" s="7" t="s">
        <v>34</v>
      </c>
      <c r="D316" s="7" t="str">
        <f>"戴海丹"</f>
        <v>戴海丹</v>
      </c>
      <c r="E316" s="7" t="str">
        <f>"会计学"</f>
        <v>会计学</v>
      </c>
      <c r="F316" s="7" t="str">
        <f>"2019.7"</f>
        <v>2019.7</v>
      </c>
      <c r="G316" s="7" t="str">
        <f t="shared" si="46"/>
        <v>本科</v>
      </c>
      <c r="H316" s="7" t="str">
        <f>"海南儋州"</f>
        <v>海南儋州</v>
      </c>
      <c r="I316" s="7"/>
    </row>
    <row r="317" spans="1:9" ht="30.75" customHeight="1">
      <c r="A317" s="6">
        <v>315</v>
      </c>
      <c r="B317" s="7" t="str">
        <f>"2522202008052018401561"</f>
        <v>2522202008052018401561</v>
      </c>
      <c r="C317" s="7" t="s">
        <v>34</v>
      </c>
      <c r="D317" s="7" t="str">
        <f>"何秀运"</f>
        <v>何秀运</v>
      </c>
      <c r="E317" s="7" t="str">
        <f>"会计"</f>
        <v>会计</v>
      </c>
      <c r="F317" s="7" t="str">
        <f>"2020.06"</f>
        <v>2020.06</v>
      </c>
      <c r="G317" s="7" t="str">
        <f>"大专"</f>
        <v>大专</v>
      </c>
      <c r="H317" s="7" t="str">
        <f t="shared" si="47"/>
        <v>海南省儋州市</v>
      </c>
      <c r="I317" s="7"/>
    </row>
    <row r="318" spans="1:9" ht="30.75" customHeight="1">
      <c r="A318" s="6">
        <v>316</v>
      </c>
      <c r="B318" s="7" t="str">
        <f>"2522202008052123581585"</f>
        <v>2522202008052123581585</v>
      </c>
      <c r="C318" s="7" t="s">
        <v>34</v>
      </c>
      <c r="D318" s="7" t="str">
        <f>"黄发玲"</f>
        <v>黄发玲</v>
      </c>
      <c r="E318" s="7" t="str">
        <f>"会计学"</f>
        <v>会计学</v>
      </c>
      <c r="F318" s="7" t="str">
        <f>"2020.07"</f>
        <v>2020.07</v>
      </c>
      <c r="G318" s="7" t="str">
        <f>"本科"</f>
        <v>本科</v>
      </c>
      <c r="H318" s="7" t="str">
        <f t="shared" si="47"/>
        <v>海南省儋州市</v>
      </c>
      <c r="I318" s="7"/>
    </row>
    <row r="319" spans="1:9" ht="30.75" customHeight="1">
      <c r="A319" s="6">
        <v>317</v>
      </c>
      <c r="B319" s="7" t="str">
        <f>"2522202008052149271593"</f>
        <v>2522202008052149271593</v>
      </c>
      <c r="C319" s="7" t="s">
        <v>34</v>
      </c>
      <c r="D319" s="7" t="str">
        <f>"刘益埙"</f>
        <v>刘益埙</v>
      </c>
      <c r="E319" s="7" t="str">
        <f>"会计学"</f>
        <v>会计学</v>
      </c>
      <c r="F319" s="7" t="str">
        <f>"2020.06"</f>
        <v>2020.06</v>
      </c>
      <c r="G319" s="7" t="str">
        <f>"本科"</f>
        <v>本科</v>
      </c>
      <c r="H319" s="7" t="str">
        <f t="shared" si="47"/>
        <v>海南省儋州市</v>
      </c>
      <c r="I319" s="7"/>
    </row>
    <row r="320" spans="1:9" ht="30.75" customHeight="1">
      <c r="A320" s="6">
        <v>318</v>
      </c>
      <c r="B320" s="7" t="str">
        <f>"2522202008052235511604"</f>
        <v>2522202008052235511604</v>
      </c>
      <c r="C320" s="7" t="s">
        <v>34</v>
      </c>
      <c r="D320" s="7" t="str">
        <f>"黄俊玲"</f>
        <v>黄俊玲</v>
      </c>
      <c r="E320" s="7" t="str">
        <f>"会计学"</f>
        <v>会计学</v>
      </c>
      <c r="F320" s="7" t="str">
        <f>"2020.06"</f>
        <v>2020.06</v>
      </c>
      <c r="G320" s="7" t="str">
        <f>"本科"</f>
        <v>本科</v>
      </c>
      <c r="H320" s="7" t="str">
        <f aca="true" t="shared" si="48" ref="H320:H325">"海南省儋州市"</f>
        <v>海南省儋州市</v>
      </c>
      <c r="I320" s="7"/>
    </row>
    <row r="321" spans="1:9" ht="30.75" customHeight="1">
      <c r="A321" s="6">
        <v>319</v>
      </c>
      <c r="B321" s="7" t="str">
        <f>"2522202008052343441616"</f>
        <v>2522202008052343441616</v>
      </c>
      <c r="C321" s="7" t="s">
        <v>34</v>
      </c>
      <c r="D321" s="7" t="str">
        <f>"何庆罴"</f>
        <v>何庆罴</v>
      </c>
      <c r="E321" s="7" t="str">
        <f>"会计学"</f>
        <v>会计学</v>
      </c>
      <c r="F321" s="7" t="str">
        <f>"2020.07"</f>
        <v>2020.07</v>
      </c>
      <c r="G321" s="7" t="str">
        <f>"本科"</f>
        <v>本科</v>
      </c>
      <c r="H321" s="7" t="str">
        <f t="shared" si="48"/>
        <v>海南省儋州市</v>
      </c>
      <c r="I321" s="7"/>
    </row>
    <row r="322" spans="1:9" ht="30.75" customHeight="1">
      <c r="A322" s="6">
        <v>320</v>
      </c>
      <c r="B322" s="7" t="str">
        <f>"2522202008060052311621"</f>
        <v>2522202008060052311621</v>
      </c>
      <c r="C322" s="7" t="s">
        <v>34</v>
      </c>
      <c r="D322" s="7" t="str">
        <f>"林源鹏"</f>
        <v>林源鹏</v>
      </c>
      <c r="E322" s="7" t="str">
        <f>"会计学"</f>
        <v>会计学</v>
      </c>
      <c r="F322" s="7" t="str">
        <f>"2020.06"</f>
        <v>2020.06</v>
      </c>
      <c r="G322" s="7" t="str">
        <f>"本科"</f>
        <v>本科</v>
      </c>
      <c r="H322" s="7" t="str">
        <f t="shared" si="48"/>
        <v>海南省儋州市</v>
      </c>
      <c r="I322" s="7"/>
    </row>
    <row r="323" spans="1:9" ht="30.75" customHeight="1">
      <c r="A323" s="6">
        <v>321</v>
      </c>
      <c r="B323" s="7" t="str">
        <f>"2522202008061625331770"</f>
        <v>2522202008061625331770</v>
      </c>
      <c r="C323" s="7" t="s">
        <v>34</v>
      </c>
      <c r="D323" s="7" t="str">
        <f>"郭慧玲"</f>
        <v>郭慧玲</v>
      </c>
      <c r="E323" s="7" t="str">
        <f>"会计"</f>
        <v>会计</v>
      </c>
      <c r="F323" s="7" t="str">
        <f>"2020.06"</f>
        <v>2020.06</v>
      </c>
      <c r="G323" s="7" t="str">
        <f>"大专"</f>
        <v>大专</v>
      </c>
      <c r="H323" s="7" t="str">
        <f>"海南儋州"</f>
        <v>海南儋州</v>
      </c>
      <c r="I323" s="7"/>
    </row>
    <row r="324" spans="1:9" ht="30.75" customHeight="1">
      <c r="A324" s="6">
        <v>322</v>
      </c>
      <c r="B324" s="7" t="str">
        <f>"2522202008062211111814"</f>
        <v>2522202008062211111814</v>
      </c>
      <c r="C324" s="7" t="s">
        <v>34</v>
      </c>
      <c r="D324" s="7" t="str">
        <f>"洪二妹"</f>
        <v>洪二妹</v>
      </c>
      <c r="E324" s="7" t="str">
        <f>"财务管理"</f>
        <v>财务管理</v>
      </c>
      <c r="F324" s="7" t="str">
        <f>"2020.06"</f>
        <v>2020.06</v>
      </c>
      <c r="G324" s="7" t="str">
        <f>"本科"</f>
        <v>本科</v>
      </c>
      <c r="H324" s="7" t="str">
        <f t="shared" si="48"/>
        <v>海南省儋州市</v>
      </c>
      <c r="I324" s="7"/>
    </row>
    <row r="325" spans="1:9" ht="30.75" customHeight="1">
      <c r="A325" s="6">
        <v>323</v>
      </c>
      <c r="B325" s="7" t="str">
        <f>"2522202008070944371828"</f>
        <v>2522202008070944371828</v>
      </c>
      <c r="C325" s="7" t="s">
        <v>34</v>
      </c>
      <c r="D325" s="7" t="str">
        <f>"蒲金欢"</f>
        <v>蒲金欢</v>
      </c>
      <c r="E325" s="7" t="str">
        <f>"会计学"</f>
        <v>会计学</v>
      </c>
      <c r="F325" s="7" t="str">
        <f>"2020.06"</f>
        <v>2020.06</v>
      </c>
      <c r="G325" s="7" t="str">
        <f>"本科"</f>
        <v>本科</v>
      </c>
      <c r="H325" s="7" t="str">
        <f t="shared" si="48"/>
        <v>海南省儋州市</v>
      </c>
      <c r="I325" s="7"/>
    </row>
    <row r="326" spans="1:9" ht="30.75" customHeight="1">
      <c r="A326" s="6">
        <v>324</v>
      </c>
      <c r="B326" s="7" t="str">
        <f>"2522202008072000231855"</f>
        <v>2522202008072000231855</v>
      </c>
      <c r="C326" s="7" t="s">
        <v>34</v>
      </c>
      <c r="D326" s="7" t="str">
        <f>"李秋娟"</f>
        <v>李秋娟</v>
      </c>
      <c r="E326" s="7" t="str">
        <f>"财务管理"</f>
        <v>财务管理</v>
      </c>
      <c r="F326" s="7" t="str">
        <f>"2020.07"</f>
        <v>2020.07</v>
      </c>
      <c r="G326" s="7" t="str">
        <f>"本科"</f>
        <v>本科</v>
      </c>
      <c r="H326" s="7" t="str">
        <f aca="true" t="shared" si="49" ref="H326:H333">"海南儋州"</f>
        <v>海南儋州</v>
      </c>
      <c r="I326" s="7"/>
    </row>
    <row r="327" spans="1:9" ht="30.75" customHeight="1">
      <c r="A327" s="6">
        <v>325</v>
      </c>
      <c r="B327" s="7" t="str">
        <f>"2522202008081311321882"</f>
        <v>2522202008081311321882</v>
      </c>
      <c r="C327" s="7" t="s">
        <v>34</v>
      </c>
      <c r="D327" s="7" t="str">
        <f>"罗江祺"</f>
        <v>罗江祺</v>
      </c>
      <c r="E327" s="7" t="str">
        <f>"会计"</f>
        <v>会计</v>
      </c>
      <c r="F327" s="7" t="str">
        <f>"2020.06"</f>
        <v>2020.06</v>
      </c>
      <c r="G327" s="7" t="str">
        <f>"大专"</f>
        <v>大专</v>
      </c>
      <c r="H327" s="7" t="str">
        <f t="shared" si="49"/>
        <v>海南儋州</v>
      </c>
      <c r="I327" s="7"/>
    </row>
    <row r="328" spans="1:9" ht="30.75" customHeight="1">
      <c r="A328" s="6">
        <v>326</v>
      </c>
      <c r="B328" s="7" t="str">
        <f>"25222020080208222426"</f>
        <v>25222020080208222426</v>
      </c>
      <c r="C328" s="7" t="s">
        <v>35</v>
      </c>
      <c r="D328" s="7" t="str">
        <f>"杨婷"</f>
        <v>杨婷</v>
      </c>
      <c r="E328" s="7" t="str">
        <f>"汉语言文学"</f>
        <v>汉语言文学</v>
      </c>
      <c r="F328" s="7" t="str">
        <f>"2020.07"</f>
        <v>2020.07</v>
      </c>
      <c r="G328" s="7" t="str">
        <f aca="true" t="shared" si="50" ref="G328:G340">"本科"</f>
        <v>本科</v>
      </c>
      <c r="H328" s="7" t="str">
        <f t="shared" si="49"/>
        <v>海南儋州</v>
      </c>
      <c r="I328" s="7"/>
    </row>
    <row r="329" spans="1:9" ht="30.75" customHeight="1">
      <c r="A329" s="6">
        <v>327</v>
      </c>
      <c r="B329" s="7" t="str">
        <f>"252220200802100358128"</f>
        <v>252220200802100358128</v>
      </c>
      <c r="C329" s="7" t="s">
        <v>35</v>
      </c>
      <c r="D329" s="7" t="str">
        <f>"周二彩"</f>
        <v>周二彩</v>
      </c>
      <c r="E329" s="7" t="str">
        <f>"汉语言文学"</f>
        <v>汉语言文学</v>
      </c>
      <c r="F329" s="7" t="str">
        <f>"2020.06"</f>
        <v>2020.06</v>
      </c>
      <c r="G329" s="7" t="str">
        <f t="shared" si="50"/>
        <v>本科</v>
      </c>
      <c r="H329" s="7" t="str">
        <f t="shared" si="49"/>
        <v>海南儋州</v>
      </c>
      <c r="I329" s="7"/>
    </row>
    <row r="330" spans="1:9" ht="30.75" customHeight="1">
      <c r="A330" s="6">
        <v>328</v>
      </c>
      <c r="B330" s="7" t="str">
        <f>"252220200802122834288"</f>
        <v>252220200802122834288</v>
      </c>
      <c r="C330" s="7" t="s">
        <v>35</v>
      </c>
      <c r="D330" s="7" t="str">
        <f>"朱剑丽"</f>
        <v>朱剑丽</v>
      </c>
      <c r="E330" s="7" t="str">
        <f>"公共事业管理"</f>
        <v>公共事业管理</v>
      </c>
      <c r="F330" s="7" t="str">
        <f>"2020.7"</f>
        <v>2020.7</v>
      </c>
      <c r="G330" s="7" t="str">
        <f t="shared" si="50"/>
        <v>本科</v>
      </c>
      <c r="H330" s="7" t="str">
        <f t="shared" si="49"/>
        <v>海南儋州</v>
      </c>
      <c r="I330" s="7"/>
    </row>
    <row r="331" spans="1:9" ht="30.75" customHeight="1">
      <c r="A331" s="6">
        <v>329</v>
      </c>
      <c r="B331" s="7" t="str">
        <f>"252220200802151157376"</f>
        <v>252220200802151157376</v>
      </c>
      <c r="C331" s="7" t="s">
        <v>35</v>
      </c>
      <c r="D331" s="7" t="str">
        <f>"谢杏楼"</f>
        <v>谢杏楼</v>
      </c>
      <c r="E331" s="7" t="str">
        <f aca="true" t="shared" si="51" ref="E331:E336">"汉语言文学"</f>
        <v>汉语言文学</v>
      </c>
      <c r="F331" s="7" t="str">
        <f>"2020.06"</f>
        <v>2020.06</v>
      </c>
      <c r="G331" s="7" t="str">
        <f t="shared" si="50"/>
        <v>本科</v>
      </c>
      <c r="H331" s="7" t="str">
        <f t="shared" si="49"/>
        <v>海南儋州</v>
      </c>
      <c r="I331" s="7"/>
    </row>
    <row r="332" spans="1:9" ht="30.75" customHeight="1">
      <c r="A332" s="6">
        <v>330</v>
      </c>
      <c r="B332" s="7" t="str">
        <f>"252220200802202810546"</f>
        <v>252220200802202810546</v>
      </c>
      <c r="C332" s="7" t="s">
        <v>35</v>
      </c>
      <c r="D332" s="7" t="str">
        <f>"王所豪"</f>
        <v>王所豪</v>
      </c>
      <c r="E332" s="7" t="str">
        <f t="shared" si="51"/>
        <v>汉语言文学</v>
      </c>
      <c r="F332" s="7" t="str">
        <f>"2020.06"</f>
        <v>2020.06</v>
      </c>
      <c r="G332" s="7" t="str">
        <f t="shared" si="50"/>
        <v>本科</v>
      </c>
      <c r="H332" s="7" t="str">
        <f t="shared" si="49"/>
        <v>海南儋州</v>
      </c>
      <c r="I332" s="7"/>
    </row>
    <row r="333" spans="1:9" ht="30.75" customHeight="1">
      <c r="A333" s="6">
        <v>331</v>
      </c>
      <c r="B333" s="7" t="str">
        <f>"252220200803010001625"</f>
        <v>252220200803010001625</v>
      </c>
      <c r="C333" s="7" t="s">
        <v>35</v>
      </c>
      <c r="D333" s="7" t="str">
        <f>"魏晓意"</f>
        <v>魏晓意</v>
      </c>
      <c r="E333" s="7" t="str">
        <f t="shared" si="51"/>
        <v>汉语言文学</v>
      </c>
      <c r="F333" s="7" t="str">
        <f>"2020.07"</f>
        <v>2020.07</v>
      </c>
      <c r="G333" s="7" t="str">
        <f t="shared" si="50"/>
        <v>本科</v>
      </c>
      <c r="H333" s="7" t="str">
        <f t="shared" si="49"/>
        <v>海南儋州</v>
      </c>
      <c r="I333" s="7"/>
    </row>
    <row r="334" spans="1:9" ht="30.75" customHeight="1">
      <c r="A334" s="6">
        <v>332</v>
      </c>
      <c r="B334" s="7" t="str">
        <f>"252220200803084315648"</f>
        <v>252220200803084315648</v>
      </c>
      <c r="C334" s="7" t="s">
        <v>35</v>
      </c>
      <c r="D334" s="7" t="str">
        <f>"刘静婷"</f>
        <v>刘静婷</v>
      </c>
      <c r="E334" s="7" t="str">
        <f t="shared" si="51"/>
        <v>汉语言文学</v>
      </c>
      <c r="F334" s="7" t="str">
        <f>"2020年7月"</f>
        <v>2020年7月</v>
      </c>
      <c r="G334" s="7" t="str">
        <f t="shared" si="50"/>
        <v>本科</v>
      </c>
      <c r="H334" s="7" t="str">
        <f aca="true" t="shared" si="52" ref="H334:H339">"海南省儋州市"</f>
        <v>海南省儋州市</v>
      </c>
      <c r="I334" s="7"/>
    </row>
    <row r="335" spans="1:9" ht="30.75" customHeight="1">
      <c r="A335" s="6">
        <v>333</v>
      </c>
      <c r="B335" s="7" t="str">
        <f>"252220200803180646957"</f>
        <v>252220200803180646957</v>
      </c>
      <c r="C335" s="7" t="s">
        <v>35</v>
      </c>
      <c r="D335" s="7" t="str">
        <f>"张瑜文"</f>
        <v>张瑜文</v>
      </c>
      <c r="E335" s="7" t="str">
        <f t="shared" si="51"/>
        <v>汉语言文学</v>
      </c>
      <c r="F335" s="7" t="str">
        <f>"2020.06"</f>
        <v>2020.06</v>
      </c>
      <c r="G335" s="7" t="str">
        <f t="shared" si="50"/>
        <v>本科</v>
      </c>
      <c r="H335" s="7" t="str">
        <f t="shared" si="52"/>
        <v>海南省儋州市</v>
      </c>
      <c r="I335" s="7"/>
    </row>
    <row r="336" spans="1:9" ht="30.75" customHeight="1">
      <c r="A336" s="6">
        <v>334</v>
      </c>
      <c r="B336" s="7" t="str">
        <f>"252220200803195524993"</f>
        <v>252220200803195524993</v>
      </c>
      <c r="C336" s="7" t="s">
        <v>35</v>
      </c>
      <c r="D336" s="7" t="str">
        <f>"羊精琛"</f>
        <v>羊精琛</v>
      </c>
      <c r="E336" s="7" t="str">
        <f t="shared" si="51"/>
        <v>汉语言文学</v>
      </c>
      <c r="F336" s="7" t="str">
        <f>"2020.07"</f>
        <v>2020.07</v>
      </c>
      <c r="G336" s="7" t="str">
        <f t="shared" si="50"/>
        <v>本科</v>
      </c>
      <c r="H336" s="7" t="str">
        <f>"海南儋州"</f>
        <v>海南儋州</v>
      </c>
      <c r="I336" s="7"/>
    </row>
    <row r="337" spans="1:9" ht="30.75" customHeight="1">
      <c r="A337" s="6">
        <v>335</v>
      </c>
      <c r="B337" s="7" t="str">
        <f>"2522202008032300551059"</f>
        <v>2522202008032300551059</v>
      </c>
      <c r="C337" s="7" t="s">
        <v>35</v>
      </c>
      <c r="D337" s="7" t="str">
        <f>"王秀娟"</f>
        <v>王秀娟</v>
      </c>
      <c r="E337" s="7" t="str">
        <f>"公共事业管理"</f>
        <v>公共事业管理</v>
      </c>
      <c r="F337" s="7" t="str">
        <f>"2020.06"</f>
        <v>2020.06</v>
      </c>
      <c r="G337" s="7" t="str">
        <f t="shared" si="50"/>
        <v>本科</v>
      </c>
      <c r="H337" s="7" t="str">
        <f>"海南儋州"</f>
        <v>海南儋州</v>
      </c>
      <c r="I337" s="7"/>
    </row>
    <row r="338" spans="1:9" ht="30.75" customHeight="1">
      <c r="A338" s="6">
        <v>336</v>
      </c>
      <c r="B338" s="7" t="str">
        <f>"2522202008041722481259"</f>
        <v>2522202008041722481259</v>
      </c>
      <c r="C338" s="7" t="s">
        <v>35</v>
      </c>
      <c r="D338" s="7" t="str">
        <f>"薛之峥"</f>
        <v>薛之峥</v>
      </c>
      <c r="E338" s="7" t="str">
        <f>"行政管理"</f>
        <v>行政管理</v>
      </c>
      <c r="F338" s="7" t="str">
        <f>"2020.06"</f>
        <v>2020.06</v>
      </c>
      <c r="G338" s="7" t="str">
        <f t="shared" si="50"/>
        <v>本科</v>
      </c>
      <c r="H338" s="7" t="str">
        <f>"海南儋州"</f>
        <v>海南儋州</v>
      </c>
      <c r="I338" s="7"/>
    </row>
    <row r="339" spans="1:9" ht="30.75" customHeight="1">
      <c r="A339" s="6">
        <v>337</v>
      </c>
      <c r="B339" s="7" t="str">
        <f>"2522202008042147261342"</f>
        <v>2522202008042147261342</v>
      </c>
      <c r="C339" s="7" t="s">
        <v>35</v>
      </c>
      <c r="D339" s="7" t="str">
        <f>"谢堂茂"</f>
        <v>谢堂茂</v>
      </c>
      <c r="E339" s="7" t="str">
        <f>"公共事业管理"</f>
        <v>公共事业管理</v>
      </c>
      <c r="F339" s="7" t="str">
        <f>"2020年6月30号"</f>
        <v>2020年6月30号</v>
      </c>
      <c r="G339" s="7" t="str">
        <f t="shared" si="50"/>
        <v>本科</v>
      </c>
      <c r="H339" s="7" t="str">
        <f t="shared" si="52"/>
        <v>海南省儋州市</v>
      </c>
      <c r="I339" s="7"/>
    </row>
    <row r="340" spans="1:9" ht="30.75" customHeight="1">
      <c r="A340" s="6">
        <v>338</v>
      </c>
      <c r="B340" s="7" t="str">
        <f>"2522202008052012581560"</f>
        <v>2522202008052012581560</v>
      </c>
      <c r="C340" s="7" t="s">
        <v>35</v>
      </c>
      <c r="D340" s="7" t="str">
        <f>"吴梅秋"</f>
        <v>吴梅秋</v>
      </c>
      <c r="E340" s="7" t="str">
        <f>"汉语言文学"</f>
        <v>汉语言文学</v>
      </c>
      <c r="F340" s="7" t="str">
        <f aca="true" t="shared" si="53" ref="F340:F347">"2020.06"</f>
        <v>2020.06</v>
      </c>
      <c r="G340" s="7" t="str">
        <f t="shared" si="50"/>
        <v>本科</v>
      </c>
      <c r="H340" s="7" t="str">
        <f aca="true" t="shared" si="54" ref="H340:H345">"海南省儋州市"</f>
        <v>海南省儋州市</v>
      </c>
      <c r="I340" s="7"/>
    </row>
    <row r="341" spans="1:9" ht="30.75" customHeight="1">
      <c r="A341" s="6">
        <v>339</v>
      </c>
      <c r="B341" s="7" t="str">
        <f>"25222020080209095373"</f>
        <v>25222020080209095373</v>
      </c>
      <c r="C341" s="7" t="s">
        <v>36</v>
      </c>
      <c r="D341" s="7" t="str">
        <f>"牛裕主"</f>
        <v>牛裕主</v>
      </c>
      <c r="E341" s="7" t="str">
        <f>"计算机网络技术"</f>
        <v>计算机网络技术</v>
      </c>
      <c r="F341" s="7" t="str">
        <f t="shared" si="53"/>
        <v>2020.06</v>
      </c>
      <c r="G341" s="7" t="str">
        <f>"大专"</f>
        <v>大专</v>
      </c>
      <c r="H341" s="7" t="str">
        <f t="shared" si="54"/>
        <v>海南省儋州市</v>
      </c>
      <c r="I341" s="7"/>
    </row>
    <row r="342" spans="1:9" ht="30.75" customHeight="1">
      <c r="A342" s="6">
        <v>340</v>
      </c>
      <c r="B342" s="7" t="str">
        <f>"252220200802111557213"</f>
        <v>252220200802111557213</v>
      </c>
      <c r="C342" s="7" t="s">
        <v>36</v>
      </c>
      <c r="D342" s="7" t="str">
        <f>"符兰英"</f>
        <v>符兰英</v>
      </c>
      <c r="E342" s="7" t="str">
        <f>"计算机科学与技术"</f>
        <v>计算机科学与技术</v>
      </c>
      <c r="F342" s="7" t="str">
        <f t="shared" si="53"/>
        <v>2020.06</v>
      </c>
      <c r="G342" s="7" t="str">
        <f aca="true" t="shared" si="55" ref="G342:G348">"本科"</f>
        <v>本科</v>
      </c>
      <c r="H342" s="7" t="str">
        <f t="shared" si="54"/>
        <v>海南省儋州市</v>
      </c>
      <c r="I342" s="7"/>
    </row>
    <row r="343" spans="1:9" ht="30.75" customHeight="1">
      <c r="A343" s="6">
        <v>341</v>
      </c>
      <c r="B343" s="7" t="str">
        <f>"252220200803105807753"</f>
        <v>252220200803105807753</v>
      </c>
      <c r="C343" s="7" t="s">
        <v>36</v>
      </c>
      <c r="D343" s="7" t="str">
        <f>"符为成"</f>
        <v>符为成</v>
      </c>
      <c r="E343" s="7" t="str">
        <f>"软件工程"</f>
        <v>软件工程</v>
      </c>
      <c r="F343" s="7" t="str">
        <f t="shared" si="53"/>
        <v>2020.06</v>
      </c>
      <c r="G343" s="7" t="str">
        <f t="shared" si="55"/>
        <v>本科</v>
      </c>
      <c r="H343" s="7" t="str">
        <f t="shared" si="54"/>
        <v>海南省儋州市</v>
      </c>
      <c r="I343" s="7"/>
    </row>
    <row r="344" spans="1:9" ht="30.75" customHeight="1">
      <c r="A344" s="6">
        <v>342</v>
      </c>
      <c r="B344" s="7" t="str">
        <f>"2522202008032113571023"</f>
        <v>2522202008032113571023</v>
      </c>
      <c r="C344" s="7" t="s">
        <v>36</v>
      </c>
      <c r="D344" s="7" t="str">
        <f>"吴宏波"</f>
        <v>吴宏波</v>
      </c>
      <c r="E344" s="7" t="str">
        <f>"网络工程"</f>
        <v>网络工程</v>
      </c>
      <c r="F344" s="7" t="str">
        <f t="shared" si="53"/>
        <v>2020.06</v>
      </c>
      <c r="G344" s="7" t="str">
        <f t="shared" si="55"/>
        <v>本科</v>
      </c>
      <c r="H344" s="7" t="str">
        <f t="shared" si="54"/>
        <v>海南省儋州市</v>
      </c>
      <c r="I344" s="7"/>
    </row>
    <row r="345" spans="1:9" ht="30.75" customHeight="1">
      <c r="A345" s="6">
        <v>343</v>
      </c>
      <c r="B345" s="7" t="str">
        <f>"2522202008041458131201"</f>
        <v>2522202008041458131201</v>
      </c>
      <c r="C345" s="7" t="s">
        <v>36</v>
      </c>
      <c r="D345" s="7" t="str">
        <f>"林天翠"</f>
        <v>林天翠</v>
      </c>
      <c r="E345" s="7" t="str">
        <f>"计算机科学与技术"</f>
        <v>计算机科学与技术</v>
      </c>
      <c r="F345" s="7" t="str">
        <f t="shared" si="53"/>
        <v>2020.06</v>
      </c>
      <c r="G345" s="7" t="str">
        <f t="shared" si="55"/>
        <v>本科</v>
      </c>
      <c r="H345" s="7" t="str">
        <f t="shared" si="54"/>
        <v>海南省儋州市</v>
      </c>
      <c r="I345" s="7"/>
    </row>
    <row r="346" spans="1:9" ht="30.75" customHeight="1">
      <c r="A346" s="6">
        <v>344</v>
      </c>
      <c r="B346" s="7" t="str">
        <f>"2522202008042119501330"</f>
        <v>2522202008042119501330</v>
      </c>
      <c r="C346" s="7" t="s">
        <v>36</v>
      </c>
      <c r="D346" s="7" t="str">
        <f>"童敏秋"</f>
        <v>童敏秋</v>
      </c>
      <c r="E346" s="7" t="str">
        <f>"软件工程（会计学）"</f>
        <v>软件工程（会计学）</v>
      </c>
      <c r="F346" s="7" t="str">
        <f t="shared" si="53"/>
        <v>2020.06</v>
      </c>
      <c r="G346" s="7" t="str">
        <f t="shared" si="55"/>
        <v>本科</v>
      </c>
      <c r="H346" s="7" t="str">
        <f>"海南儋州"</f>
        <v>海南儋州</v>
      </c>
      <c r="I346" s="7"/>
    </row>
    <row r="347" spans="1:9" ht="30.75" customHeight="1">
      <c r="A347" s="6">
        <v>345</v>
      </c>
      <c r="B347" s="7" t="str">
        <f>"2522202008061055471673"</f>
        <v>2522202008061055471673</v>
      </c>
      <c r="C347" s="7" t="s">
        <v>36</v>
      </c>
      <c r="D347" s="7" t="str">
        <f>"何发俊"</f>
        <v>何发俊</v>
      </c>
      <c r="E347" s="7" t="str">
        <f>"软件工程"</f>
        <v>软件工程</v>
      </c>
      <c r="F347" s="7" t="str">
        <f t="shared" si="53"/>
        <v>2020.06</v>
      </c>
      <c r="G347" s="7" t="str">
        <f t="shared" si="55"/>
        <v>本科</v>
      </c>
      <c r="H347" s="7" t="str">
        <f>"海南儋州"</f>
        <v>海南儋州</v>
      </c>
      <c r="I347" s="7"/>
    </row>
    <row r="348" spans="1:9" ht="30.75" customHeight="1">
      <c r="A348" s="6">
        <v>346</v>
      </c>
      <c r="B348" s="7" t="str">
        <f>"2522202008061944411805"</f>
        <v>2522202008061944411805</v>
      </c>
      <c r="C348" s="7" t="s">
        <v>36</v>
      </c>
      <c r="D348" s="7" t="str">
        <f>"何岩尾"</f>
        <v>何岩尾</v>
      </c>
      <c r="E348" s="7" t="str">
        <f>"软件工程"</f>
        <v>软件工程</v>
      </c>
      <c r="F348" s="7" t="str">
        <f>"2020.6"</f>
        <v>2020.6</v>
      </c>
      <c r="G348" s="7" t="str">
        <f t="shared" si="55"/>
        <v>本科</v>
      </c>
      <c r="H348" s="7" t="str">
        <f>"海南儋州"</f>
        <v>海南儋州</v>
      </c>
      <c r="I348" s="7"/>
    </row>
    <row r="349" spans="1:9" ht="30.75" customHeight="1">
      <c r="A349" s="6">
        <v>347</v>
      </c>
      <c r="B349" s="7" t="str">
        <f>"2522202008071613491840"</f>
        <v>2522202008071613491840</v>
      </c>
      <c r="C349" s="7" t="s">
        <v>36</v>
      </c>
      <c r="D349" s="7" t="str">
        <f>"李鸿基"</f>
        <v>李鸿基</v>
      </c>
      <c r="E349" s="7" t="str">
        <f>"计算机应用技术"</f>
        <v>计算机应用技术</v>
      </c>
      <c r="F349" s="7" t="str">
        <f>"2020.06"</f>
        <v>2020.06</v>
      </c>
      <c r="G349" s="7" t="str">
        <f>"大专"</f>
        <v>大专</v>
      </c>
      <c r="H349" s="7" t="str">
        <f>"海南儋州"</f>
        <v>海南儋州</v>
      </c>
      <c r="I349" s="7"/>
    </row>
    <row r="350" spans="1:9" ht="60.75" customHeight="1">
      <c r="A350" s="8" t="s">
        <v>37</v>
      </c>
      <c r="B350" s="8"/>
      <c r="C350" s="8"/>
      <c r="D350" s="8"/>
      <c r="E350" s="8"/>
      <c r="F350" s="8"/>
      <c r="G350" s="8"/>
      <c r="H350" s="8"/>
      <c r="I350" s="8"/>
    </row>
  </sheetData>
  <sheetProtection/>
  <mergeCells count="2">
    <mergeCell ref="A1:I1"/>
    <mergeCell ref="A350:I350"/>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zbh</cp:lastModifiedBy>
  <dcterms:created xsi:type="dcterms:W3CDTF">2020-08-20T06:35:29Z</dcterms:created>
  <dcterms:modified xsi:type="dcterms:W3CDTF">2020-08-26T09:20:19Z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